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095" windowHeight="7950"/>
  </bookViews>
  <sheets>
    <sheet name="Calk Umum" sheetId="1" r:id="rId1"/>
  </sheets>
  <externalReferences>
    <externalReference r:id="rId2"/>
    <externalReference r:id="rId3"/>
  </externalReferences>
  <definedNames>
    <definedName name="OLE_LINK2" localSheetId="0">'Calk Umum'!$C$9</definedName>
    <definedName name="_xlnm.Print_Area" localSheetId="0">'Calk Umum'!$A$1:$U$2342</definedName>
    <definedName name="_xlnm.Print_Titles" localSheetId="0">'Calk Umum'!$1:$1</definedName>
  </definedNames>
  <calcPr calcId="124519" fullCalcOnLoad="1"/>
</workbook>
</file>

<file path=xl/calcChain.xml><?xml version="1.0" encoding="utf-8"?>
<calcChain xmlns="http://schemas.openxmlformats.org/spreadsheetml/2006/main">
  <c r="L2332" i="1"/>
  <c r="L2331"/>
  <c r="L2326"/>
  <c r="B2324"/>
  <c r="B2323"/>
  <c r="B2322"/>
  <c r="P2286"/>
  <c r="P2285"/>
  <c r="P2284"/>
  <c r="P2283"/>
  <c r="P2281" s="1"/>
  <c r="P2277"/>
  <c r="P2275" s="1"/>
  <c r="P2287" s="1"/>
  <c r="P2276"/>
  <c r="C2274"/>
  <c r="C2271"/>
  <c r="B2270"/>
  <c r="C2268"/>
  <c r="C2266"/>
  <c r="C2265"/>
  <c r="C2262"/>
  <c r="D2259"/>
  <c r="D2257"/>
  <c r="C2253"/>
  <c r="L2250"/>
  <c r="L2249"/>
  <c r="L2248"/>
  <c r="D2246"/>
  <c r="L2240"/>
  <c r="L2239"/>
  <c r="L2238"/>
  <c r="L2237"/>
  <c r="L2241" s="1"/>
  <c r="D2235"/>
  <c r="L2229"/>
  <c r="L2228"/>
  <c r="L2227"/>
  <c r="L2226"/>
  <c r="L2230" s="1"/>
  <c r="D2224"/>
  <c r="D2223"/>
  <c r="L2218"/>
  <c r="L2217"/>
  <c r="L2216"/>
  <c r="D2214"/>
  <c r="D2212"/>
  <c r="L2207"/>
  <c r="L2206"/>
  <c r="L2205"/>
  <c r="L2204"/>
  <c r="L2208" s="1"/>
  <c r="L2203"/>
  <c r="D2201"/>
  <c r="D2199"/>
  <c r="L2191"/>
  <c r="L2190"/>
  <c r="L2192" s="1"/>
  <c r="D2188"/>
  <c r="D2186"/>
  <c r="L2182"/>
  <c r="L2181"/>
  <c r="L2180"/>
  <c r="D2178"/>
  <c r="D2176"/>
  <c r="P2171"/>
  <c r="P2170"/>
  <c r="P2169" s="1"/>
  <c r="P2168"/>
  <c r="P2167"/>
  <c r="P2166"/>
  <c r="P2165"/>
  <c r="P2164" s="1"/>
  <c r="P2163"/>
  <c r="P2162" s="1"/>
  <c r="P2161"/>
  <c r="P2160" s="1"/>
  <c r="P2159"/>
  <c r="P2158"/>
  <c r="P2157" s="1"/>
  <c r="P2156"/>
  <c r="P2155"/>
  <c r="P2154"/>
  <c r="P2153"/>
  <c r="P2152"/>
  <c r="P2151"/>
  <c r="P2150"/>
  <c r="P2149"/>
  <c r="P2148"/>
  <c r="P2147"/>
  <c r="P2146"/>
  <c r="P2145" s="1"/>
  <c r="P2144"/>
  <c r="P2143"/>
  <c r="P2142"/>
  <c r="P2141"/>
  <c r="P2140"/>
  <c r="P2139"/>
  <c r="P2138" s="1"/>
  <c r="P2137"/>
  <c r="P2136"/>
  <c r="P2135"/>
  <c r="P2134"/>
  <c r="P2133"/>
  <c r="P2132"/>
  <c r="P2131"/>
  <c r="P2130"/>
  <c r="P2129"/>
  <c r="P2128"/>
  <c r="P2127"/>
  <c r="P2126"/>
  <c r="P2125"/>
  <c r="P2124"/>
  <c r="P2123"/>
  <c r="P2122"/>
  <c r="P2121"/>
  <c r="P2120"/>
  <c r="P2119"/>
  <c r="P2118"/>
  <c r="P2117"/>
  <c r="P2116" s="1"/>
  <c r="P2115"/>
  <c r="P2114"/>
  <c r="P2113" s="1"/>
  <c r="P2112"/>
  <c r="P2111"/>
  <c r="P2110"/>
  <c r="P2109"/>
  <c r="P2108"/>
  <c r="P2107"/>
  <c r="P2106"/>
  <c r="P2105"/>
  <c r="P2104" s="1"/>
  <c r="P2103"/>
  <c r="P2102"/>
  <c r="P2101"/>
  <c r="P2100"/>
  <c r="P2099"/>
  <c r="P2098"/>
  <c r="P2097"/>
  <c r="P2096"/>
  <c r="P2095"/>
  <c r="P2094"/>
  <c r="P2093"/>
  <c r="P2092"/>
  <c r="P2091"/>
  <c r="P2090"/>
  <c r="P2089"/>
  <c r="P2088"/>
  <c r="P2087"/>
  <c r="P2086"/>
  <c r="P2085"/>
  <c r="P2084"/>
  <c r="P2083"/>
  <c r="P2082"/>
  <c r="P2081"/>
  <c r="P2080"/>
  <c r="P2079"/>
  <c r="P2078"/>
  <c r="P2077"/>
  <c r="P2076"/>
  <c r="P2075"/>
  <c r="P2074"/>
  <c r="P2073"/>
  <c r="P2072"/>
  <c r="P2071"/>
  <c r="P2070"/>
  <c r="P2069"/>
  <c r="P2068"/>
  <c r="P2067"/>
  <c r="P2066"/>
  <c r="P2065" s="1"/>
  <c r="P2172" s="1"/>
  <c r="D2063"/>
  <c r="D2061"/>
  <c r="P2055"/>
  <c r="P2054"/>
  <c r="P2053"/>
  <c r="P2052"/>
  <c r="P2051"/>
  <c r="P2050"/>
  <c r="P2049"/>
  <c r="P2048"/>
  <c r="P2047"/>
  <c r="P2046"/>
  <c r="P2045"/>
  <c r="P2044"/>
  <c r="P2043"/>
  <c r="P2042"/>
  <c r="P2041"/>
  <c r="P2040"/>
  <c r="P2039" s="1"/>
  <c r="P2056" s="1"/>
  <c r="P2036"/>
  <c r="P2035" s="1"/>
  <c r="P2034"/>
  <c r="P2033"/>
  <c r="P2032"/>
  <c r="P2031"/>
  <c r="P2030"/>
  <c r="P2029"/>
  <c r="P2028"/>
  <c r="P2027"/>
  <c r="P2026"/>
  <c r="P2025"/>
  <c r="P2024"/>
  <c r="D2022"/>
  <c r="D2020"/>
  <c r="P2015"/>
  <c r="P2014"/>
  <c r="P2013"/>
  <c r="P2012"/>
  <c r="P2011" s="1"/>
  <c r="P2016" s="1"/>
  <c r="P2010"/>
  <c r="P2009"/>
  <c r="P2008"/>
  <c r="P2007"/>
  <c r="P2006"/>
  <c r="P2005" s="1"/>
  <c r="P2004"/>
  <c r="P2003"/>
  <c r="P2002" s="1"/>
  <c r="P2001"/>
  <c r="P2000"/>
  <c r="P1999"/>
  <c r="P1998"/>
  <c r="P1997"/>
  <c r="P1996"/>
  <c r="P1995" s="1"/>
  <c r="P1994"/>
  <c r="P1993"/>
  <c r="P1992"/>
  <c r="P1991"/>
  <c r="P1990"/>
  <c r="P1989"/>
  <c r="P1988"/>
  <c r="P1987"/>
  <c r="O1987"/>
  <c r="P1986"/>
  <c r="O1986"/>
  <c r="P1985"/>
  <c r="P1984"/>
  <c r="P1983"/>
  <c r="P1982"/>
  <c r="P1981"/>
  <c r="P1980" s="1"/>
  <c r="P1979"/>
  <c r="P1978"/>
  <c r="P1977"/>
  <c r="P1976"/>
  <c r="P1975" s="1"/>
  <c r="P1974"/>
  <c r="P1973" s="1"/>
  <c r="P1972"/>
  <c r="P1971"/>
  <c r="P1970"/>
  <c r="P1969"/>
  <c r="P1968"/>
  <c r="P1967"/>
  <c r="P1966"/>
  <c r="P1965"/>
  <c r="P1964"/>
  <c r="P1963"/>
  <c r="P1962"/>
  <c r="P1961"/>
  <c r="P1960"/>
  <c r="P1959"/>
  <c r="P1958"/>
  <c r="P1957"/>
  <c r="P1956"/>
  <c r="P1955"/>
  <c r="P1954"/>
  <c r="P1953"/>
  <c r="P1951" s="1"/>
  <c r="P1952"/>
  <c r="D1949"/>
  <c r="P1944"/>
  <c r="P1943"/>
  <c r="J1943"/>
  <c r="AC1943" s="1"/>
  <c r="P1942"/>
  <c r="J1942"/>
  <c r="Y1942" s="1"/>
  <c r="P1941"/>
  <c r="J1941"/>
  <c r="AC1940"/>
  <c r="D2211" s="1"/>
  <c r="P1940"/>
  <c r="J1940"/>
  <c r="AC1939"/>
  <c r="Y1939"/>
  <c r="P1939"/>
  <c r="J1939"/>
  <c r="D2197" s="1"/>
  <c r="AC1938"/>
  <c r="Y1938"/>
  <c r="P1938"/>
  <c r="J1938"/>
  <c r="AC1937"/>
  <c r="Y1937"/>
  <c r="P1937"/>
  <c r="J1937"/>
  <c r="AC1936"/>
  <c r="D2185" s="1"/>
  <c r="Y1936"/>
  <c r="P1936"/>
  <c r="J1936"/>
  <c r="AC1935"/>
  <c r="Y1935"/>
  <c r="P1935"/>
  <c r="J1935"/>
  <c r="D2175" s="1"/>
  <c r="AC1934"/>
  <c r="D2059" s="1"/>
  <c r="Y1934"/>
  <c r="P1934"/>
  <c r="J1934"/>
  <c r="AC1933"/>
  <c r="Y1933"/>
  <c r="P1933"/>
  <c r="J1933"/>
  <c r="D2019" s="1"/>
  <c r="AC1932"/>
  <c r="D1947" s="1"/>
  <c r="Y1932"/>
  <c r="P1932"/>
  <c r="J1932"/>
  <c r="C1930"/>
  <c r="P1923"/>
  <c r="P1922"/>
  <c r="P1921"/>
  <c r="P1920"/>
  <c r="P1919"/>
  <c r="P1918"/>
  <c r="P1917"/>
  <c r="P1916"/>
  <c r="P1915"/>
  <c r="P1914"/>
  <c r="P1913"/>
  <c r="P1912"/>
  <c r="P1911"/>
  <c r="P1910"/>
  <c r="P1909"/>
  <c r="P1924" s="1"/>
  <c r="P1908"/>
  <c r="P1907"/>
  <c r="D1905"/>
  <c r="O1902"/>
  <c r="O1901"/>
  <c r="O1900"/>
  <c r="O1903" s="1"/>
  <c r="I1900"/>
  <c r="I1903" s="1"/>
  <c r="D1897"/>
  <c r="P1893"/>
  <c r="P1892"/>
  <c r="P1891"/>
  <c r="P1890"/>
  <c r="P1889"/>
  <c r="P1888"/>
  <c r="P1887"/>
  <c r="P1886"/>
  <c r="P1885"/>
  <c r="P1884"/>
  <c r="P1883"/>
  <c r="P1882"/>
  <c r="P1894" s="1"/>
  <c r="P1881"/>
  <c r="P1880"/>
  <c r="P1879"/>
  <c r="P1878"/>
  <c r="P1877"/>
  <c r="P1876"/>
  <c r="P1875"/>
  <c r="P1874"/>
  <c r="P1873"/>
  <c r="P1872"/>
  <c r="P1871"/>
  <c r="P1870"/>
  <c r="P1869"/>
  <c r="P1868"/>
  <c r="P1867"/>
  <c r="P1866"/>
  <c r="P1865"/>
  <c r="P1864"/>
  <c r="P1863"/>
  <c r="P1862"/>
  <c r="P1861"/>
  <c r="P1860"/>
  <c r="P1859"/>
  <c r="P1858"/>
  <c r="P1857"/>
  <c r="P1856"/>
  <c r="P1855"/>
  <c r="P1854"/>
  <c r="P1853"/>
  <c r="P1852"/>
  <c r="P1850"/>
  <c r="P1849"/>
  <c r="P1848"/>
  <c r="P1847"/>
  <c r="D1845"/>
  <c r="AC1844"/>
  <c r="Y1844"/>
  <c r="AC1843"/>
  <c r="Y1843"/>
  <c r="O1843"/>
  <c r="I1843"/>
  <c r="AC1842"/>
  <c r="Y1842"/>
  <c r="O1842"/>
  <c r="I1842"/>
  <c r="AC1841"/>
  <c r="Y1841"/>
  <c r="O1841"/>
  <c r="O1844" s="1"/>
  <c r="I1841"/>
  <c r="I1844" s="1"/>
  <c r="D1838"/>
  <c r="O1836"/>
  <c r="D1831"/>
  <c r="P1829"/>
  <c r="P1828"/>
  <c r="P1827"/>
  <c r="P1826"/>
  <c r="P1825"/>
  <c r="P1824"/>
  <c r="P1823"/>
  <c r="P1822"/>
  <c r="P1821"/>
  <c r="P1820"/>
  <c r="P1819"/>
  <c r="P1818"/>
  <c r="P1817"/>
  <c r="P1816"/>
  <c r="P1815"/>
  <c r="P1814"/>
  <c r="P1813"/>
  <c r="P1812"/>
  <c r="P1811"/>
  <c r="P1810"/>
  <c r="P1809"/>
  <c r="P1808"/>
  <c r="P1807"/>
  <c r="P1806"/>
  <c r="P1805"/>
  <c r="P1804"/>
  <c r="P1803"/>
  <c r="P1802"/>
  <c r="P1801"/>
  <c r="P1800"/>
  <c r="P1799"/>
  <c r="P1798"/>
  <c r="P1797"/>
  <c r="P1796"/>
  <c r="P1795"/>
  <c r="P1794"/>
  <c r="P1793"/>
  <c r="P1792"/>
  <c r="P1791"/>
  <c r="P1790"/>
  <c r="P1789"/>
  <c r="P1788"/>
  <c r="P1787"/>
  <c r="P1786"/>
  <c r="P1785"/>
  <c r="P1784"/>
  <c r="P1783"/>
  <c r="P1782"/>
  <c r="P1781"/>
  <c r="P1780"/>
  <c r="P1779"/>
  <c r="P1778"/>
  <c r="P1777"/>
  <c r="P1776"/>
  <c r="P1775"/>
  <c r="P1774"/>
  <c r="P1773"/>
  <c r="P1772"/>
  <c r="P1771"/>
  <c r="P1770"/>
  <c r="P1769"/>
  <c r="P1768"/>
  <c r="P1767"/>
  <c r="P1766"/>
  <c r="P1765"/>
  <c r="P1764"/>
  <c r="P1763"/>
  <c r="P1762"/>
  <c r="P1761"/>
  <c r="P1760"/>
  <c r="P1759"/>
  <c r="P1758"/>
  <c r="P1757"/>
  <c r="P1756"/>
  <c r="P1755"/>
  <c r="P1754"/>
  <c r="P1830" s="1"/>
  <c r="D1752"/>
  <c r="P1749"/>
  <c r="J1749"/>
  <c r="P1748"/>
  <c r="J1748"/>
  <c r="P1747"/>
  <c r="J1747"/>
  <c r="P1746"/>
  <c r="P1750" s="1"/>
  <c r="J1746"/>
  <c r="J1750" s="1"/>
  <c r="P1745"/>
  <c r="J1745"/>
  <c r="D1743"/>
  <c r="C1741"/>
  <c r="G1739"/>
  <c r="M1738"/>
  <c r="G1738"/>
  <c r="M1737"/>
  <c r="G1737"/>
  <c r="S1736"/>
  <c r="M1736"/>
  <c r="M1739" s="1"/>
  <c r="G1736"/>
  <c r="M1735"/>
  <c r="O1899" s="1"/>
  <c r="G1735"/>
  <c r="I1899" s="1"/>
  <c r="C1734"/>
  <c r="C1731"/>
  <c r="C1729"/>
  <c r="C1725"/>
  <c r="O1719"/>
  <c r="L1719"/>
  <c r="I1719"/>
  <c r="F1719"/>
  <c r="R1719" s="1"/>
  <c r="B1719"/>
  <c r="A1719"/>
  <c r="O1718"/>
  <c r="L1718"/>
  <c r="I1718"/>
  <c r="F1718"/>
  <c r="R1718" s="1"/>
  <c r="B1718"/>
  <c r="A1718"/>
  <c r="O1717"/>
  <c r="L1717"/>
  <c r="I1717"/>
  <c r="F1717"/>
  <c r="B1717"/>
  <c r="R1717" s="1"/>
  <c r="A1717"/>
  <c r="O1716"/>
  <c r="L1716"/>
  <c r="I1716"/>
  <c r="F1716"/>
  <c r="R1716" s="1"/>
  <c r="B1716"/>
  <c r="A1716"/>
  <c r="O1715"/>
  <c r="O1720" s="1"/>
  <c r="L1715"/>
  <c r="L1720" s="1"/>
  <c r="I1715"/>
  <c r="I1720" s="1"/>
  <c r="F1715"/>
  <c r="F1720" s="1"/>
  <c r="B1715"/>
  <c r="B1720" s="1"/>
  <c r="A1715"/>
  <c r="O1707"/>
  <c r="L1707"/>
  <c r="I1707"/>
  <c r="F1707"/>
  <c r="R1707" s="1"/>
  <c r="B1707"/>
  <c r="A1707"/>
  <c r="O1706"/>
  <c r="L1706"/>
  <c r="I1706"/>
  <c r="F1706"/>
  <c r="R1706" s="1"/>
  <c r="B1706"/>
  <c r="A1706"/>
  <c r="O1705"/>
  <c r="L1705"/>
  <c r="I1705"/>
  <c r="F1705"/>
  <c r="B1705"/>
  <c r="R1705" s="1"/>
  <c r="A1705"/>
  <c r="O1704"/>
  <c r="L1704"/>
  <c r="I1704"/>
  <c r="F1704"/>
  <c r="R1704" s="1"/>
  <c r="B1704"/>
  <c r="A1704"/>
  <c r="O1703"/>
  <c r="O1708" s="1"/>
  <c r="L1703"/>
  <c r="I1703"/>
  <c r="I1708" s="1"/>
  <c r="F1703"/>
  <c r="F1708" s="1"/>
  <c r="B1703"/>
  <c r="B1708" s="1"/>
  <c r="A1703"/>
  <c r="O1702"/>
  <c r="L1702"/>
  <c r="L1708" s="1"/>
  <c r="I1702"/>
  <c r="F1702"/>
  <c r="R1702" s="1"/>
  <c r="B1702"/>
  <c r="A1702"/>
  <c r="O1694"/>
  <c r="L1694"/>
  <c r="L1695" s="1"/>
  <c r="I1694"/>
  <c r="F1694"/>
  <c r="R1694" s="1"/>
  <c r="B1694"/>
  <c r="A1694"/>
  <c r="O1693"/>
  <c r="L1693"/>
  <c r="I1693"/>
  <c r="F1693"/>
  <c r="B1693"/>
  <c r="R1693" s="1"/>
  <c r="A1693"/>
  <c r="O1692"/>
  <c r="L1692"/>
  <c r="I1692"/>
  <c r="F1692"/>
  <c r="R1692" s="1"/>
  <c r="B1692"/>
  <c r="A1692"/>
  <c r="O1691"/>
  <c r="O1695" s="1"/>
  <c r="L1691"/>
  <c r="I1691"/>
  <c r="I1695" s="1"/>
  <c r="F1691"/>
  <c r="F1695" s="1"/>
  <c r="B1691"/>
  <c r="B1695" s="1"/>
  <c r="A1691"/>
  <c r="O1682"/>
  <c r="L1682"/>
  <c r="I1682"/>
  <c r="F1682"/>
  <c r="R1682" s="1"/>
  <c r="B1682"/>
  <c r="A1682"/>
  <c r="O1681"/>
  <c r="L1681"/>
  <c r="I1681"/>
  <c r="F1681"/>
  <c r="R1681" s="1"/>
  <c r="B1681"/>
  <c r="A1681"/>
  <c r="O1680"/>
  <c r="L1680"/>
  <c r="I1680"/>
  <c r="F1680"/>
  <c r="B1680"/>
  <c r="R1680" s="1"/>
  <c r="A1680"/>
  <c r="O1679"/>
  <c r="L1679"/>
  <c r="I1679"/>
  <c r="F1679"/>
  <c r="R1679" s="1"/>
  <c r="B1679"/>
  <c r="A1679"/>
  <c r="O1678"/>
  <c r="O1683" s="1"/>
  <c r="L1678"/>
  <c r="L1683" s="1"/>
  <c r="I1678"/>
  <c r="I1683" s="1"/>
  <c r="F1678"/>
  <c r="F1683" s="1"/>
  <c r="B1678"/>
  <c r="B1683" s="1"/>
  <c r="A1678"/>
  <c r="C1674"/>
  <c r="O1669"/>
  <c r="L1669"/>
  <c r="I1669"/>
  <c r="F1669"/>
  <c r="R1669" s="1"/>
  <c r="B1669"/>
  <c r="A1669"/>
  <c r="O1668"/>
  <c r="L1668"/>
  <c r="I1668"/>
  <c r="F1668"/>
  <c r="R1668" s="1"/>
  <c r="B1668"/>
  <c r="A1668"/>
  <c r="O1667"/>
  <c r="L1667"/>
  <c r="I1667"/>
  <c r="F1667"/>
  <c r="B1667"/>
  <c r="R1667" s="1"/>
  <c r="A1667"/>
  <c r="O1666"/>
  <c r="L1666"/>
  <c r="I1666"/>
  <c r="F1666"/>
  <c r="R1666" s="1"/>
  <c r="B1666"/>
  <c r="A1666"/>
  <c r="O1665"/>
  <c r="L1665"/>
  <c r="I1665"/>
  <c r="I1670" s="1"/>
  <c r="F1665"/>
  <c r="F1670" s="1"/>
  <c r="B1665"/>
  <c r="A1665"/>
  <c r="O1664"/>
  <c r="O1670" s="1"/>
  <c r="L1664"/>
  <c r="L1670" s="1"/>
  <c r="I1664"/>
  <c r="F1664"/>
  <c r="R1664" s="1"/>
  <c r="B1664"/>
  <c r="B1670" s="1"/>
  <c r="A1664"/>
  <c r="C1660"/>
  <c r="O1652"/>
  <c r="L1652"/>
  <c r="I1652"/>
  <c r="F1652"/>
  <c r="B1652"/>
  <c r="R1652" s="1"/>
  <c r="A1652"/>
  <c r="O1651"/>
  <c r="L1651"/>
  <c r="I1651"/>
  <c r="F1651"/>
  <c r="B1651"/>
  <c r="R1651" s="1"/>
  <c r="A1651"/>
  <c r="O1650"/>
  <c r="L1650"/>
  <c r="I1650"/>
  <c r="F1650"/>
  <c r="R1650" s="1"/>
  <c r="B1650"/>
  <c r="A1650"/>
  <c r="O1649"/>
  <c r="L1649"/>
  <c r="I1649"/>
  <c r="F1649"/>
  <c r="R1649" s="1"/>
  <c r="B1649"/>
  <c r="A1649"/>
  <c r="O1648"/>
  <c r="L1648"/>
  <c r="L1653" s="1"/>
  <c r="I1648"/>
  <c r="F1648"/>
  <c r="B1648"/>
  <c r="R1648" s="1"/>
  <c r="A1648"/>
  <c r="O1647"/>
  <c r="L1647"/>
  <c r="I1647"/>
  <c r="F1647"/>
  <c r="B1647"/>
  <c r="R1647" s="1"/>
  <c r="A1647"/>
  <c r="O1646"/>
  <c r="L1646"/>
  <c r="I1646"/>
  <c r="F1646"/>
  <c r="R1646" s="1"/>
  <c r="B1646"/>
  <c r="A1646"/>
  <c r="O1645"/>
  <c r="O1653" s="1"/>
  <c r="L1645"/>
  <c r="I1645"/>
  <c r="I1653" s="1"/>
  <c r="F1645"/>
  <c r="F1653" s="1"/>
  <c r="B1645"/>
  <c r="B1653" s="1"/>
  <c r="A1645"/>
  <c r="C1641"/>
  <c r="N1637"/>
  <c r="N1636"/>
  <c r="N1635"/>
  <c r="N1634"/>
  <c r="N1633"/>
  <c r="B1633"/>
  <c r="B1634" s="1"/>
  <c r="B1635" s="1"/>
  <c r="B1636" s="1"/>
  <c r="N1632"/>
  <c r="B1632"/>
  <c r="N1631"/>
  <c r="C1628"/>
  <c r="C1627"/>
  <c r="C1625"/>
  <c r="O1620"/>
  <c r="L1620"/>
  <c r="I1620"/>
  <c r="F1620"/>
  <c r="R1620" s="1"/>
  <c r="B1620"/>
  <c r="N1611"/>
  <c r="B1611"/>
  <c r="N1610"/>
  <c r="B1610"/>
  <c r="N1609"/>
  <c r="B1609"/>
  <c r="N1608"/>
  <c r="B1608"/>
  <c r="N1607"/>
  <c r="B1607"/>
  <c r="N1606"/>
  <c r="N1612" s="1"/>
  <c r="B1606"/>
  <c r="B1604"/>
  <c r="O1598"/>
  <c r="C1603" s="1"/>
  <c r="L1598"/>
  <c r="C1601" s="1"/>
  <c r="I1598"/>
  <c r="F1598"/>
  <c r="B1598"/>
  <c r="R1598" s="1"/>
  <c r="O1583"/>
  <c r="C1588" s="1"/>
  <c r="L1583"/>
  <c r="C1586" s="1"/>
  <c r="I1583"/>
  <c r="F1583"/>
  <c r="B1583"/>
  <c r="R1583" s="1"/>
  <c r="C1579"/>
  <c r="O1571"/>
  <c r="L1571"/>
  <c r="I1571"/>
  <c r="F1571"/>
  <c r="R1571" s="1"/>
  <c r="B1571"/>
  <c r="O1561"/>
  <c r="L1561"/>
  <c r="I1561"/>
  <c r="F1561"/>
  <c r="B1561"/>
  <c r="R1561" s="1"/>
  <c r="C1556" s="1"/>
  <c r="C1557"/>
  <c r="R1547"/>
  <c r="N1547"/>
  <c r="J1547"/>
  <c r="N1546"/>
  <c r="J1546"/>
  <c r="R1546" s="1"/>
  <c r="N1545"/>
  <c r="N1548" s="1"/>
  <c r="Z1545" s="1"/>
  <c r="J1545"/>
  <c r="R1545" s="1"/>
  <c r="N1544"/>
  <c r="J1544"/>
  <c r="J1548" s="1"/>
  <c r="B1542"/>
  <c r="O1540"/>
  <c r="L1540"/>
  <c r="I1540"/>
  <c r="F1540"/>
  <c r="R1540" s="1"/>
  <c r="B1540"/>
  <c r="Y1540" s="1"/>
  <c r="A1540"/>
  <c r="C1536"/>
  <c r="O1529"/>
  <c r="L1529"/>
  <c r="I1529"/>
  <c r="F1529"/>
  <c r="R1529" s="1"/>
  <c r="B1529"/>
  <c r="A1529"/>
  <c r="C1524"/>
  <c r="C1522"/>
  <c r="O1513"/>
  <c r="C1518" s="1"/>
  <c r="L1513"/>
  <c r="C1516" s="1"/>
  <c r="I1513"/>
  <c r="F1513"/>
  <c r="B1513"/>
  <c r="R1513" s="1"/>
  <c r="A1513"/>
  <c r="C1509"/>
  <c r="C1507"/>
  <c r="O1500"/>
  <c r="L1500"/>
  <c r="C1503" s="1"/>
  <c r="I1500"/>
  <c r="C1505" s="1"/>
  <c r="F1500"/>
  <c r="R1500" s="1"/>
  <c r="B1500"/>
  <c r="A1500"/>
  <c r="C1496"/>
  <c r="C1494"/>
  <c r="O1487"/>
  <c r="L1487"/>
  <c r="I1487"/>
  <c r="C1492" s="1"/>
  <c r="F1487"/>
  <c r="C1490" s="1"/>
  <c r="B1487"/>
  <c r="C1483"/>
  <c r="C1481"/>
  <c r="A1487" s="1"/>
  <c r="O1474"/>
  <c r="C1479" s="1"/>
  <c r="L1474"/>
  <c r="I1474"/>
  <c r="F1474"/>
  <c r="C1477" s="1"/>
  <c r="B1474"/>
  <c r="A1474"/>
  <c r="C1470"/>
  <c r="C1468"/>
  <c r="O1461"/>
  <c r="C1466" s="1"/>
  <c r="L1461"/>
  <c r="C1464" s="1"/>
  <c r="I1461"/>
  <c r="F1461"/>
  <c r="B1461"/>
  <c r="R1461" s="1"/>
  <c r="A1461"/>
  <c r="C1457"/>
  <c r="C1455"/>
  <c r="O1448"/>
  <c r="L1448"/>
  <c r="C1451" s="1"/>
  <c r="I1448"/>
  <c r="C1453" s="1"/>
  <c r="F1448"/>
  <c r="R1448" s="1"/>
  <c r="B1448"/>
  <c r="A1448"/>
  <c r="C1444"/>
  <c r="C1442"/>
  <c r="O1435"/>
  <c r="L1435"/>
  <c r="I1435"/>
  <c r="C1440" s="1"/>
  <c r="F1435"/>
  <c r="C1438" s="1"/>
  <c r="B1435"/>
  <c r="C1431"/>
  <c r="C1429"/>
  <c r="A1435" s="1"/>
  <c r="O1422"/>
  <c r="C1427" s="1"/>
  <c r="L1422"/>
  <c r="I1422"/>
  <c r="F1422"/>
  <c r="C1425" s="1"/>
  <c r="B1422"/>
  <c r="A1422"/>
  <c r="C1418"/>
  <c r="C1416"/>
  <c r="O1414"/>
  <c r="L1414"/>
  <c r="I1414"/>
  <c r="F1414"/>
  <c r="R1414" s="1"/>
  <c r="AC1414" s="1"/>
  <c r="B1414"/>
  <c r="C1408"/>
  <c r="A1414" s="1"/>
  <c r="Q1405"/>
  <c r="D1405"/>
  <c r="Q1404"/>
  <c r="D1404"/>
  <c r="Q1403"/>
  <c r="D1403"/>
  <c r="Q1402"/>
  <c r="D1402"/>
  <c r="Q1401"/>
  <c r="D1401"/>
  <c r="Q1400"/>
  <c r="D1400"/>
  <c r="Q1399"/>
  <c r="D1399"/>
  <c r="Q1398"/>
  <c r="D1398"/>
  <c r="Q1397"/>
  <c r="D1397"/>
  <c r="Q1396"/>
  <c r="Q1406" s="1"/>
  <c r="D1396"/>
  <c r="B1394"/>
  <c r="O1387"/>
  <c r="L1387"/>
  <c r="C1390" s="1"/>
  <c r="I1387"/>
  <c r="C1392" s="1"/>
  <c r="F1387"/>
  <c r="B1387"/>
  <c r="R1387" s="1"/>
  <c r="A1387"/>
  <c r="C1383"/>
  <c r="C1381"/>
  <c r="O1374"/>
  <c r="L1374"/>
  <c r="I1374"/>
  <c r="C1379" s="1"/>
  <c r="F1374"/>
  <c r="C1377" s="1"/>
  <c r="C1370"/>
  <c r="C1368"/>
  <c r="A1374" s="1"/>
  <c r="O1361"/>
  <c r="C1366" s="1"/>
  <c r="L1361"/>
  <c r="C1364" s="1"/>
  <c r="I1361"/>
  <c r="F1361"/>
  <c r="B1361"/>
  <c r="R1361" s="1"/>
  <c r="A1361"/>
  <c r="C1357"/>
  <c r="C1355"/>
  <c r="C1352"/>
  <c r="O1349"/>
  <c r="L1349"/>
  <c r="I1349"/>
  <c r="C1354" s="1"/>
  <c r="F1349"/>
  <c r="B1349"/>
  <c r="R1349" s="1"/>
  <c r="A1349"/>
  <c r="C1345"/>
  <c r="C1343"/>
  <c r="C1339"/>
  <c r="O1336"/>
  <c r="L1336"/>
  <c r="I1336"/>
  <c r="F1336"/>
  <c r="B1336"/>
  <c r="R1336" s="1"/>
  <c r="A1336"/>
  <c r="C1332"/>
  <c r="C1330"/>
  <c r="C1326"/>
  <c r="O1323"/>
  <c r="L1323"/>
  <c r="I1323"/>
  <c r="C1328" s="1"/>
  <c r="F1323"/>
  <c r="B1323"/>
  <c r="R1323" s="1"/>
  <c r="AC1323" s="1"/>
  <c r="A1323"/>
  <c r="C1319"/>
  <c r="C1318"/>
  <c r="C1317"/>
  <c r="O1310"/>
  <c r="L1310"/>
  <c r="I1310"/>
  <c r="C1315" s="1"/>
  <c r="F1310"/>
  <c r="B1310"/>
  <c r="A1310"/>
  <c r="C1306"/>
  <c r="C1304"/>
  <c r="AC1297"/>
  <c r="O1297"/>
  <c r="L1297"/>
  <c r="C1300" s="1"/>
  <c r="I1297"/>
  <c r="C1302" s="1"/>
  <c r="F1297"/>
  <c r="B1297"/>
  <c r="R1297" s="1"/>
  <c r="Y1297" s="1"/>
  <c r="A1297"/>
  <c r="C1293"/>
  <c r="C1292"/>
  <c r="C1291"/>
  <c r="O1285"/>
  <c r="L1285"/>
  <c r="C1288" s="1"/>
  <c r="I1285"/>
  <c r="C1290" s="1"/>
  <c r="F1285"/>
  <c r="B1285"/>
  <c r="A1285"/>
  <c r="C1281"/>
  <c r="C1279"/>
  <c r="AC1272"/>
  <c r="O1272"/>
  <c r="L1272"/>
  <c r="C1275" s="1"/>
  <c r="I1272"/>
  <c r="C1277" s="1"/>
  <c r="F1272"/>
  <c r="B1272"/>
  <c r="R1272" s="1"/>
  <c r="Y1272" s="1"/>
  <c r="A1272"/>
  <c r="C1269"/>
  <c r="C1268"/>
  <c r="C1267"/>
  <c r="O1265"/>
  <c r="L1265"/>
  <c r="I1265"/>
  <c r="F1265"/>
  <c r="R1265" s="1"/>
  <c r="B1265"/>
  <c r="A1265"/>
  <c r="P1254"/>
  <c r="C1254"/>
  <c r="P1253"/>
  <c r="C1253"/>
  <c r="P1252"/>
  <c r="C1252"/>
  <c r="P1251"/>
  <c r="C1251"/>
  <c r="P1250"/>
  <c r="C1250"/>
  <c r="P1249"/>
  <c r="C1249"/>
  <c r="P1248"/>
  <c r="C1248"/>
  <c r="P1247"/>
  <c r="P1255" s="1"/>
  <c r="C1247"/>
  <c r="P1246"/>
  <c r="C1246"/>
  <c r="B1243"/>
  <c r="O1236"/>
  <c r="L1236"/>
  <c r="I1236"/>
  <c r="C1241" s="1"/>
  <c r="F1236"/>
  <c r="C1239" s="1"/>
  <c r="B1236"/>
  <c r="C1232"/>
  <c r="C1230"/>
  <c r="O1223"/>
  <c r="C1228" s="1"/>
  <c r="L1223"/>
  <c r="I1223"/>
  <c r="F1223"/>
  <c r="C1226" s="1"/>
  <c r="B1223"/>
  <c r="A1223"/>
  <c r="C1219"/>
  <c r="C1217"/>
  <c r="C1215"/>
  <c r="O1210"/>
  <c r="L1210"/>
  <c r="C1213" s="1"/>
  <c r="I1210"/>
  <c r="F1210"/>
  <c r="B1210"/>
  <c r="R1210" s="1"/>
  <c r="A1210"/>
  <c r="C1206"/>
  <c r="C1204"/>
  <c r="C1194"/>
  <c r="O1192"/>
  <c r="L1192"/>
  <c r="I1192"/>
  <c r="C1198" s="1"/>
  <c r="F1192"/>
  <c r="B1192"/>
  <c r="AC1190"/>
  <c r="Y1190"/>
  <c r="C1188"/>
  <c r="C1186"/>
  <c r="A1192" s="1"/>
  <c r="C1184"/>
  <c r="O1179"/>
  <c r="L1179"/>
  <c r="C1182" s="1"/>
  <c r="I1179"/>
  <c r="F1179"/>
  <c r="B1179"/>
  <c r="R1179" s="1"/>
  <c r="A1179"/>
  <c r="C1175"/>
  <c r="C1173"/>
  <c r="O1162"/>
  <c r="L1162"/>
  <c r="C1164" s="1"/>
  <c r="I1162"/>
  <c r="C1168" s="1"/>
  <c r="F1162"/>
  <c r="B1162"/>
  <c r="A1162"/>
  <c r="C1158"/>
  <c r="C1156"/>
  <c r="O1145"/>
  <c r="L1145"/>
  <c r="I1145"/>
  <c r="C1151" s="1"/>
  <c r="F1145"/>
  <c r="C1147" s="1"/>
  <c r="B1145"/>
  <c r="A1145"/>
  <c r="C1141"/>
  <c r="C1139"/>
  <c r="O1132"/>
  <c r="L1132"/>
  <c r="I1132"/>
  <c r="C1137" s="1"/>
  <c r="F1132"/>
  <c r="B1132"/>
  <c r="A1132"/>
  <c r="C1129"/>
  <c r="C1127"/>
  <c r="O1125"/>
  <c r="L1125"/>
  <c r="I1125"/>
  <c r="F1125"/>
  <c r="R1125" s="1"/>
  <c r="B1125"/>
  <c r="A1125"/>
  <c r="Q1117"/>
  <c r="D1117"/>
  <c r="Q1116"/>
  <c r="D1116"/>
  <c r="Q1115"/>
  <c r="D1115"/>
  <c r="Q1114"/>
  <c r="D1114"/>
  <c r="Q1113"/>
  <c r="D1113"/>
  <c r="Q1112"/>
  <c r="D1112"/>
  <c r="Q1111"/>
  <c r="D1111"/>
  <c r="Q1110"/>
  <c r="D1110"/>
  <c r="Q1109"/>
  <c r="D1109"/>
  <c r="Q1108"/>
  <c r="D1108"/>
  <c r="Q1107"/>
  <c r="D1107"/>
  <c r="Q1106"/>
  <c r="D1106"/>
  <c r="Q1105"/>
  <c r="D1105"/>
  <c r="Q1104"/>
  <c r="D1104"/>
  <c r="Q1103"/>
  <c r="D1103"/>
  <c r="Q1102"/>
  <c r="D1102"/>
  <c r="Q1101"/>
  <c r="D1101"/>
  <c r="Q1100"/>
  <c r="D1100"/>
  <c r="B1100"/>
  <c r="B1101" s="1"/>
  <c r="B1102" s="1"/>
  <c r="B1103" s="1"/>
  <c r="B1104" s="1"/>
  <c r="B1105" s="1"/>
  <c r="B1106" s="1"/>
  <c r="B1107" s="1"/>
  <c r="B1108" s="1"/>
  <c r="B1109" s="1"/>
  <c r="B1110" s="1"/>
  <c r="B1111" s="1"/>
  <c r="B1112" s="1"/>
  <c r="B1113" s="1"/>
  <c r="B1114" s="1"/>
  <c r="B1115" s="1"/>
  <c r="B1116" s="1"/>
  <c r="B1117" s="1"/>
  <c r="Q1099"/>
  <c r="D1099"/>
  <c r="Q1098"/>
  <c r="D1098"/>
  <c r="Q1097"/>
  <c r="D1097"/>
  <c r="B1097"/>
  <c r="B1098" s="1"/>
  <c r="B1099" s="1"/>
  <c r="Q1096"/>
  <c r="Q1118" s="1"/>
  <c r="D1096"/>
  <c r="B1093"/>
  <c r="O1086"/>
  <c r="C1091" s="1"/>
  <c r="L1086"/>
  <c r="I1086"/>
  <c r="F1086"/>
  <c r="C1089" s="1"/>
  <c r="B1086"/>
  <c r="C1082"/>
  <c r="C1080"/>
  <c r="A1086" s="1"/>
  <c r="C1078"/>
  <c r="O1073"/>
  <c r="L1073"/>
  <c r="I1073"/>
  <c r="F1073"/>
  <c r="C1076" s="1"/>
  <c r="B1073"/>
  <c r="C1069"/>
  <c r="C1067"/>
  <c r="A1073" s="1"/>
  <c r="C1065"/>
  <c r="O1060"/>
  <c r="L1060"/>
  <c r="I1060"/>
  <c r="F1060"/>
  <c r="C1063" s="1"/>
  <c r="B1060"/>
  <c r="C1056"/>
  <c r="C1054"/>
  <c r="A1060" s="1"/>
  <c r="C1052"/>
  <c r="O1047"/>
  <c r="L1047"/>
  <c r="I1047"/>
  <c r="F1047"/>
  <c r="C1050" s="1"/>
  <c r="B1047"/>
  <c r="C1043"/>
  <c r="C1041"/>
  <c r="A1047" s="1"/>
  <c r="C1039"/>
  <c r="O1034"/>
  <c r="L1034"/>
  <c r="C1037" s="1"/>
  <c r="I1034"/>
  <c r="F1034"/>
  <c r="B1034"/>
  <c r="A1034"/>
  <c r="C1030"/>
  <c r="C1028"/>
  <c r="C1026"/>
  <c r="O1021"/>
  <c r="L1021"/>
  <c r="C1024" s="1"/>
  <c r="I1021"/>
  <c r="F1021"/>
  <c r="B1021"/>
  <c r="R1021" s="1"/>
  <c r="A1021"/>
  <c r="Y1018"/>
  <c r="C1017"/>
  <c r="C1015"/>
  <c r="C1013"/>
  <c r="O1008"/>
  <c r="L1008"/>
  <c r="C1011" s="1"/>
  <c r="I1008"/>
  <c r="F1008"/>
  <c r="B1008"/>
  <c r="A1008"/>
  <c r="C1005"/>
  <c r="C999"/>
  <c r="O996"/>
  <c r="L996"/>
  <c r="I996"/>
  <c r="C1001" s="1"/>
  <c r="F996"/>
  <c r="R996" s="1"/>
  <c r="B996"/>
  <c r="A996"/>
  <c r="C993"/>
  <c r="O984"/>
  <c r="L984"/>
  <c r="I984"/>
  <c r="C989" s="1"/>
  <c r="F984"/>
  <c r="C987" s="1"/>
  <c r="B984"/>
  <c r="A984"/>
  <c r="C981"/>
  <c r="O972"/>
  <c r="C977" s="1"/>
  <c r="L972"/>
  <c r="I972"/>
  <c r="F972"/>
  <c r="C975" s="1"/>
  <c r="B972"/>
  <c r="R972" s="1"/>
  <c r="C967" s="1"/>
  <c r="A972"/>
  <c r="C968"/>
  <c r="O959"/>
  <c r="L959"/>
  <c r="I959"/>
  <c r="C964" s="1"/>
  <c r="F959"/>
  <c r="C962" s="1"/>
  <c r="B959"/>
  <c r="A959"/>
  <c r="C956"/>
  <c r="C949"/>
  <c r="R946"/>
  <c r="C941" s="1"/>
  <c r="O946"/>
  <c r="L946"/>
  <c r="I946"/>
  <c r="C951" s="1"/>
  <c r="F946"/>
  <c r="B946"/>
  <c r="A946"/>
  <c r="C943"/>
  <c r="C938"/>
  <c r="R933"/>
  <c r="O933"/>
  <c r="L933"/>
  <c r="C936" s="1"/>
  <c r="I933"/>
  <c r="F933"/>
  <c r="B933"/>
  <c r="A933"/>
  <c r="C930"/>
  <c r="C928"/>
  <c r="AN924"/>
  <c r="R920"/>
  <c r="C915" s="1"/>
  <c r="O920"/>
  <c r="C925" s="1"/>
  <c r="L920"/>
  <c r="I920"/>
  <c r="F920"/>
  <c r="C923" s="1"/>
  <c r="B920"/>
  <c r="A920"/>
  <c r="C916"/>
  <c r="C906"/>
  <c r="R903"/>
  <c r="C898" s="1"/>
  <c r="O903"/>
  <c r="L903"/>
  <c r="I903"/>
  <c r="C910" s="1"/>
  <c r="F903"/>
  <c r="B903"/>
  <c r="A903"/>
  <c r="C899"/>
  <c r="AN896"/>
  <c r="O888"/>
  <c r="C895" s="1"/>
  <c r="L888"/>
  <c r="C891" s="1"/>
  <c r="I888"/>
  <c r="F888"/>
  <c r="B888"/>
  <c r="R888" s="1"/>
  <c r="C884" s="1"/>
  <c r="A888"/>
  <c r="C885"/>
  <c r="O880"/>
  <c r="L880"/>
  <c r="I880"/>
  <c r="F880"/>
  <c r="B880"/>
  <c r="A880"/>
  <c r="P871"/>
  <c r="C871"/>
  <c r="P870"/>
  <c r="C870"/>
  <c r="P869"/>
  <c r="C869"/>
  <c r="P868"/>
  <c r="C868"/>
  <c r="P867"/>
  <c r="C867"/>
  <c r="P866"/>
  <c r="C866"/>
  <c r="P865"/>
  <c r="C865"/>
  <c r="P864"/>
  <c r="C864"/>
  <c r="P863"/>
  <c r="C863"/>
  <c r="P862"/>
  <c r="C862"/>
  <c r="P861"/>
  <c r="C861"/>
  <c r="P860"/>
  <c r="C860"/>
  <c r="P859"/>
  <c r="P872" s="1"/>
  <c r="C859"/>
  <c r="C857"/>
  <c r="A851"/>
  <c r="C850"/>
  <c r="O847"/>
  <c r="B847"/>
  <c r="R846"/>
  <c r="R847" s="1"/>
  <c r="O846"/>
  <c r="L846"/>
  <c r="L847" s="1"/>
  <c r="I846"/>
  <c r="I847" s="1"/>
  <c r="C854" s="1"/>
  <c r="F846"/>
  <c r="F847" s="1"/>
  <c r="B846"/>
  <c r="AC835"/>
  <c r="S835"/>
  <c r="N835"/>
  <c r="I835"/>
  <c r="AC834"/>
  <c r="N834"/>
  <c r="I834"/>
  <c r="S833"/>
  <c r="N833"/>
  <c r="I833"/>
  <c r="AC833" s="1"/>
  <c r="S832"/>
  <c r="N832"/>
  <c r="I832"/>
  <c r="AC832" s="1"/>
  <c r="S831"/>
  <c r="N831"/>
  <c r="I831"/>
  <c r="AC831" s="1"/>
  <c r="S830"/>
  <c r="N830"/>
  <c r="N836" s="1"/>
  <c r="AC836" s="1"/>
  <c r="I830"/>
  <c r="I836" s="1"/>
  <c r="N821"/>
  <c r="J821"/>
  <c r="F821"/>
  <c r="R820"/>
  <c r="AD819"/>
  <c r="R819"/>
  <c r="R821" s="1"/>
  <c r="D815" s="1"/>
  <c r="N812"/>
  <c r="J812"/>
  <c r="F812"/>
  <c r="R811"/>
  <c r="R810"/>
  <c r="R809"/>
  <c r="R808"/>
  <c r="R812" s="1"/>
  <c r="D804" s="1"/>
  <c r="F801"/>
  <c r="R800"/>
  <c r="R799"/>
  <c r="R798"/>
  <c r="R797"/>
  <c r="N797"/>
  <c r="R796"/>
  <c r="N795"/>
  <c r="N801" s="1"/>
  <c r="J795"/>
  <c r="J801" s="1"/>
  <c r="I785"/>
  <c r="AC785" s="1"/>
  <c r="B785"/>
  <c r="N784"/>
  <c r="I784"/>
  <c r="S784" s="1"/>
  <c r="B784"/>
  <c r="S783"/>
  <c r="N783"/>
  <c r="N786" s="1"/>
  <c r="I783"/>
  <c r="AC783" s="1"/>
  <c r="B783"/>
  <c r="C779"/>
  <c r="N774"/>
  <c r="I774"/>
  <c r="AC774" s="1"/>
  <c r="B774"/>
  <c r="N773"/>
  <c r="I773"/>
  <c r="B773"/>
  <c r="N772"/>
  <c r="I772"/>
  <c r="AC772" s="1"/>
  <c r="B772"/>
  <c r="N771"/>
  <c r="I771"/>
  <c r="AC771" s="1"/>
  <c r="B771"/>
  <c r="N770"/>
  <c r="I770"/>
  <c r="AC770" s="1"/>
  <c r="B770"/>
  <c r="I769"/>
  <c r="I782" s="1"/>
  <c r="O760"/>
  <c r="J755"/>
  <c r="R754"/>
  <c r="R753"/>
  <c r="R752"/>
  <c r="R751"/>
  <c r="J749"/>
  <c r="J756" s="1"/>
  <c r="R748"/>
  <c r="O762" s="1"/>
  <c r="R747"/>
  <c r="R746"/>
  <c r="R745"/>
  <c r="J743"/>
  <c r="R742"/>
  <c r="R741"/>
  <c r="O761" s="1"/>
  <c r="R740"/>
  <c r="R743" s="1"/>
  <c r="R739"/>
  <c r="N731"/>
  <c r="J731"/>
  <c r="F731"/>
  <c r="R730"/>
  <c r="R729"/>
  <c r="R731" s="1"/>
  <c r="D725"/>
  <c r="N719"/>
  <c r="E723" s="1"/>
  <c r="J719"/>
  <c r="E722" s="1"/>
  <c r="F719"/>
  <c r="R718"/>
  <c r="R717"/>
  <c r="R719" s="1"/>
  <c r="D713" s="1"/>
  <c r="N708"/>
  <c r="J708"/>
  <c r="F708"/>
  <c r="R707"/>
  <c r="R708" s="1"/>
  <c r="D702" s="1"/>
  <c r="R706"/>
  <c r="R705"/>
  <c r="R704"/>
  <c r="R716" s="1"/>
  <c r="R699"/>
  <c r="D689" s="1"/>
  <c r="N699"/>
  <c r="J699"/>
  <c r="F699"/>
  <c r="R698"/>
  <c r="R697"/>
  <c r="R696"/>
  <c r="R695"/>
  <c r="R694"/>
  <c r="R693"/>
  <c r="R692"/>
  <c r="R691"/>
  <c r="F691"/>
  <c r="F704" s="1"/>
  <c r="J690"/>
  <c r="J727" s="1"/>
  <c r="O684"/>
  <c r="J684"/>
  <c r="B684"/>
  <c r="O683"/>
  <c r="J683"/>
  <c r="B683"/>
  <c r="O682"/>
  <c r="J682"/>
  <c r="J685" s="1"/>
  <c r="C675" s="1"/>
  <c r="B682"/>
  <c r="O681"/>
  <c r="J681"/>
  <c r="B681"/>
  <c r="O680"/>
  <c r="O685" s="1"/>
  <c r="J680"/>
  <c r="B680"/>
  <c r="O670"/>
  <c r="J670"/>
  <c r="D663"/>
  <c r="Q660"/>
  <c r="L660"/>
  <c r="Q659"/>
  <c r="L659"/>
  <c r="Q657"/>
  <c r="O667" s="1"/>
  <c r="O679" s="1"/>
  <c r="N769" s="1"/>
  <c r="N782" s="1"/>
  <c r="D652"/>
  <c r="O649"/>
  <c r="J649"/>
  <c r="D642" s="1"/>
  <c r="O639"/>
  <c r="O638"/>
  <c r="J638"/>
  <c r="O637"/>
  <c r="J637"/>
  <c r="O636"/>
  <c r="J636"/>
  <c r="O635"/>
  <c r="J635"/>
  <c r="J639" s="1"/>
  <c r="D632"/>
  <c r="O628"/>
  <c r="O627"/>
  <c r="O626"/>
  <c r="O625"/>
  <c r="O629" s="1"/>
  <c r="C622" s="1"/>
  <c r="O624"/>
  <c r="O623"/>
  <c r="I616"/>
  <c r="T616" s="1"/>
  <c r="T615"/>
  <c r="N615"/>
  <c r="N616" s="1"/>
  <c r="I615"/>
  <c r="T614"/>
  <c r="N614"/>
  <c r="I614"/>
  <c r="N613"/>
  <c r="I613"/>
  <c r="T613" s="1"/>
  <c r="N612"/>
  <c r="O634" s="1"/>
  <c r="O646" s="1"/>
  <c r="I612"/>
  <c r="J634" s="1"/>
  <c r="J646" s="1"/>
  <c r="L657" s="1"/>
  <c r="J667" s="1"/>
  <c r="J679" s="1"/>
  <c r="C610"/>
  <c r="O606"/>
  <c r="O607" s="1"/>
  <c r="J606"/>
  <c r="T606" s="1"/>
  <c r="E606"/>
  <c r="A606"/>
  <c r="O605"/>
  <c r="J605"/>
  <c r="J607" s="1"/>
  <c r="E605"/>
  <c r="E607" s="1"/>
  <c r="A605"/>
  <c r="AC604"/>
  <c r="Y604"/>
  <c r="V604"/>
  <c r="A604"/>
  <c r="B602"/>
  <c r="J598"/>
  <c r="T597"/>
  <c r="O597"/>
  <c r="AC597" s="1"/>
  <c r="J597"/>
  <c r="E597"/>
  <c r="Y597" s="1"/>
  <c r="A597"/>
  <c r="T596"/>
  <c r="O596"/>
  <c r="AC596" s="1"/>
  <c r="J596"/>
  <c r="E596"/>
  <c r="Y596" s="1"/>
  <c r="A596"/>
  <c r="T595"/>
  <c r="O595"/>
  <c r="O598" s="1"/>
  <c r="J595"/>
  <c r="E595"/>
  <c r="A595"/>
  <c r="B593"/>
  <c r="D587"/>
  <c r="AC586"/>
  <c r="Y586"/>
  <c r="V586"/>
  <c r="AC585"/>
  <c r="Y585"/>
  <c r="V585"/>
  <c r="AC584"/>
  <c r="Y584"/>
  <c r="V584"/>
  <c r="T583"/>
  <c r="O583"/>
  <c r="O587" s="1"/>
  <c r="J583"/>
  <c r="J587" s="1"/>
  <c r="D583"/>
  <c r="Y583" s="1"/>
  <c r="E581"/>
  <c r="O577"/>
  <c r="AC576"/>
  <c r="Y576"/>
  <c r="V576"/>
  <c r="O575"/>
  <c r="J575"/>
  <c r="Y575" s="1"/>
  <c r="E575"/>
  <c r="E577" s="1"/>
  <c r="A574"/>
  <c r="J568"/>
  <c r="E568"/>
  <c r="AC567"/>
  <c r="Y567"/>
  <c r="V567"/>
  <c r="Y566"/>
  <c r="V566"/>
  <c r="T566"/>
  <c r="O566"/>
  <c r="O568" s="1"/>
  <c r="A566"/>
  <c r="J559"/>
  <c r="E559"/>
  <c r="AC558"/>
  <c r="Y558"/>
  <c r="V558"/>
  <c r="Y557"/>
  <c r="V557"/>
  <c r="T557"/>
  <c r="O557"/>
  <c r="O559" s="1"/>
  <c r="D552"/>
  <c r="O550"/>
  <c r="E550"/>
  <c r="AC549"/>
  <c r="Y549"/>
  <c r="V549"/>
  <c r="AC548"/>
  <c r="Y548"/>
  <c r="V548"/>
  <c r="Y547"/>
  <c r="O547"/>
  <c r="J547"/>
  <c r="E547"/>
  <c r="Y540"/>
  <c r="J540"/>
  <c r="E540"/>
  <c r="AC539"/>
  <c r="Y539"/>
  <c r="V539"/>
  <c r="AC538"/>
  <c r="Y538"/>
  <c r="V538"/>
  <c r="O537"/>
  <c r="O540" s="1"/>
  <c r="J537"/>
  <c r="T537" s="1"/>
  <c r="E537"/>
  <c r="O530"/>
  <c r="AC530" s="1"/>
  <c r="J530"/>
  <c r="E530"/>
  <c r="AC529"/>
  <c r="Y529"/>
  <c r="V529"/>
  <c r="AC528"/>
  <c r="Y528"/>
  <c r="V528"/>
  <c r="T527"/>
  <c r="O527"/>
  <c r="AC527" s="1"/>
  <c r="J527"/>
  <c r="V527" s="1"/>
  <c r="E527"/>
  <c r="AC519"/>
  <c r="Y519"/>
  <c r="V519"/>
  <c r="AC518"/>
  <c r="Y518"/>
  <c r="V518"/>
  <c r="AC517"/>
  <c r="Y517"/>
  <c r="V517"/>
  <c r="T516"/>
  <c r="O516"/>
  <c r="O520" s="1"/>
  <c r="J516"/>
  <c r="V516" s="1"/>
  <c r="E516"/>
  <c r="E520" s="1"/>
  <c r="E515"/>
  <c r="E526" s="1"/>
  <c r="E556" s="1"/>
  <c r="O509"/>
  <c r="AC508"/>
  <c r="Y508"/>
  <c r="V508"/>
  <c r="AC507"/>
  <c r="Y507"/>
  <c r="V507"/>
  <c r="AC506"/>
  <c r="Y506"/>
  <c r="V506"/>
  <c r="O505"/>
  <c r="AC505" s="1"/>
  <c r="J505"/>
  <c r="T505" s="1"/>
  <c r="E505"/>
  <c r="E509" s="1"/>
  <c r="AC497"/>
  <c r="Y497"/>
  <c r="V497"/>
  <c r="AC496"/>
  <c r="Y496"/>
  <c r="V496"/>
  <c r="AC495"/>
  <c r="Y495"/>
  <c r="V495"/>
  <c r="AC494"/>
  <c r="T494"/>
  <c r="O494"/>
  <c r="O498" s="1"/>
  <c r="J494"/>
  <c r="V494" s="1"/>
  <c r="E494"/>
  <c r="E498" s="1"/>
  <c r="D489"/>
  <c r="D500" s="1"/>
  <c r="D511" s="1"/>
  <c r="D522" s="1"/>
  <c r="D532" s="1"/>
  <c r="D542" s="1"/>
  <c r="D561" s="1"/>
  <c r="D570" s="1"/>
  <c r="AC486"/>
  <c r="Y486"/>
  <c r="V486"/>
  <c r="AC485"/>
  <c r="Y485"/>
  <c r="V485"/>
  <c r="AC484"/>
  <c r="Y484"/>
  <c r="V484"/>
  <c r="O483"/>
  <c r="O487" s="1"/>
  <c r="J483"/>
  <c r="J487" s="1"/>
  <c r="E483"/>
  <c r="E487" s="1"/>
  <c r="Y475"/>
  <c r="O475"/>
  <c r="J475"/>
  <c r="E475"/>
  <c r="A475"/>
  <c r="AC474"/>
  <c r="O474"/>
  <c r="J474"/>
  <c r="Y474" s="1"/>
  <c r="E474"/>
  <c r="A474"/>
  <c r="Y473"/>
  <c r="O473"/>
  <c r="J473"/>
  <c r="E473"/>
  <c r="A473"/>
  <c r="AC472"/>
  <c r="O472"/>
  <c r="J472"/>
  <c r="Y472" s="1"/>
  <c r="E472"/>
  <c r="A472"/>
  <c r="Y471"/>
  <c r="O471"/>
  <c r="J471"/>
  <c r="E471"/>
  <c r="A471"/>
  <c r="AC470"/>
  <c r="O470"/>
  <c r="J470"/>
  <c r="E470"/>
  <c r="Y470" s="1"/>
  <c r="A470"/>
  <c r="V469"/>
  <c r="O469"/>
  <c r="J469"/>
  <c r="E469"/>
  <c r="Y469" s="1"/>
  <c r="A469"/>
  <c r="V468"/>
  <c r="O468"/>
  <c r="J468"/>
  <c r="E468"/>
  <c r="Y468" s="1"/>
  <c r="A468"/>
  <c r="O467"/>
  <c r="J467"/>
  <c r="T467" s="1"/>
  <c r="E467"/>
  <c r="Y467" s="1"/>
  <c r="A467"/>
  <c r="O466"/>
  <c r="O476" s="1"/>
  <c r="J466"/>
  <c r="V466" s="1"/>
  <c r="E466"/>
  <c r="E476" s="1"/>
  <c r="A466"/>
  <c r="B464"/>
  <c r="O454"/>
  <c r="O453"/>
  <c r="J453"/>
  <c r="AC453" s="1"/>
  <c r="E453"/>
  <c r="A453"/>
  <c r="AC452"/>
  <c r="Y452"/>
  <c r="J452"/>
  <c r="J454" s="1"/>
  <c r="E452"/>
  <c r="E454" s="1"/>
  <c r="Y454" s="1"/>
  <c r="A452"/>
  <c r="B450"/>
  <c r="O443"/>
  <c r="J443"/>
  <c r="V443" s="1"/>
  <c r="E443"/>
  <c r="Y443" s="1"/>
  <c r="A443"/>
  <c r="O442"/>
  <c r="J442"/>
  <c r="AC442" s="1"/>
  <c r="E442"/>
  <c r="Y442" s="1"/>
  <c r="A442"/>
  <c r="O441"/>
  <c r="J441"/>
  <c r="AC441" s="1"/>
  <c r="E441"/>
  <c r="Y441" s="1"/>
  <c r="A441"/>
  <c r="O440"/>
  <c r="J440"/>
  <c r="AC440" s="1"/>
  <c r="E440"/>
  <c r="Y440" s="1"/>
  <c r="A440"/>
  <c r="O439"/>
  <c r="J439"/>
  <c r="AC439" s="1"/>
  <c r="E439"/>
  <c r="Y439" s="1"/>
  <c r="A439"/>
  <c r="O438"/>
  <c r="O444" s="1"/>
  <c r="J438"/>
  <c r="J444" s="1"/>
  <c r="E438"/>
  <c r="E444" s="1"/>
  <c r="Y444" s="1"/>
  <c r="A438"/>
  <c r="B436"/>
  <c r="D434"/>
  <c r="O428"/>
  <c r="J428"/>
  <c r="AC428" s="1"/>
  <c r="E428"/>
  <c r="A428"/>
  <c r="B426"/>
  <c r="D425"/>
  <c r="O419"/>
  <c r="J419"/>
  <c r="V419" s="1"/>
  <c r="E419"/>
  <c r="Y419" s="1"/>
  <c r="A419"/>
  <c r="O418"/>
  <c r="J418"/>
  <c r="AC418" s="1"/>
  <c r="E418"/>
  <c r="Y418" s="1"/>
  <c r="A418"/>
  <c r="O417"/>
  <c r="T417" s="1"/>
  <c r="J417"/>
  <c r="E417"/>
  <c r="V417" s="1"/>
  <c r="A417"/>
  <c r="O416"/>
  <c r="T416" s="1"/>
  <c r="J416"/>
  <c r="E416"/>
  <c r="V416" s="1"/>
  <c r="A416"/>
  <c r="V415"/>
  <c r="O415"/>
  <c r="J415"/>
  <c r="E415"/>
  <c r="A415"/>
  <c r="T414"/>
  <c r="O414"/>
  <c r="J414"/>
  <c r="AC414" s="1"/>
  <c r="E414"/>
  <c r="V414" s="1"/>
  <c r="A414"/>
  <c r="O413"/>
  <c r="J413"/>
  <c r="T413" s="1"/>
  <c r="E413"/>
  <c r="A413"/>
  <c r="T412"/>
  <c r="O412"/>
  <c r="J412"/>
  <c r="E412"/>
  <c r="V412" s="1"/>
  <c r="A412"/>
  <c r="T411"/>
  <c r="O411"/>
  <c r="J411"/>
  <c r="AC411" s="1"/>
  <c r="E411"/>
  <c r="V411" s="1"/>
  <c r="A411"/>
  <c r="O410"/>
  <c r="J410"/>
  <c r="T410" s="1"/>
  <c r="E410"/>
  <c r="A410"/>
  <c r="O409"/>
  <c r="J409"/>
  <c r="AC409" s="1"/>
  <c r="E409"/>
  <c r="A409"/>
  <c r="T408"/>
  <c r="O408"/>
  <c r="J408"/>
  <c r="E408"/>
  <c r="V408" s="1"/>
  <c r="A408"/>
  <c r="T407"/>
  <c r="O407"/>
  <c r="J407"/>
  <c r="AC407" s="1"/>
  <c r="E407"/>
  <c r="V407" s="1"/>
  <c r="A407"/>
  <c r="O406"/>
  <c r="J406"/>
  <c r="T406" s="1"/>
  <c r="E406"/>
  <c r="A406"/>
  <c r="O405"/>
  <c r="J405"/>
  <c r="AC405" s="1"/>
  <c r="E405"/>
  <c r="A405"/>
  <c r="T404"/>
  <c r="O404"/>
  <c r="J404"/>
  <c r="E404"/>
  <c r="V404" s="1"/>
  <c r="A404"/>
  <c r="T403"/>
  <c r="O403"/>
  <c r="J403"/>
  <c r="AC403" s="1"/>
  <c r="E403"/>
  <c r="E420" s="1"/>
  <c r="A403"/>
  <c r="O402"/>
  <c r="J402"/>
  <c r="T402" s="1"/>
  <c r="E402"/>
  <c r="A402"/>
  <c r="O401"/>
  <c r="O420" s="1"/>
  <c r="J401"/>
  <c r="AC401" s="1"/>
  <c r="E401"/>
  <c r="A401"/>
  <c r="B399"/>
  <c r="D398"/>
  <c r="O391"/>
  <c r="J391"/>
  <c r="V391" s="1"/>
  <c r="E391"/>
  <c r="Y391" s="1"/>
  <c r="A391"/>
  <c r="O390"/>
  <c r="J390"/>
  <c r="AC390" s="1"/>
  <c r="E390"/>
  <c r="A390"/>
  <c r="O389"/>
  <c r="J389"/>
  <c r="AC389" s="1"/>
  <c r="E389"/>
  <c r="Y389" s="1"/>
  <c r="A389"/>
  <c r="O388"/>
  <c r="J388"/>
  <c r="AC388" s="1"/>
  <c r="E388"/>
  <c r="Y388" s="1"/>
  <c r="A388"/>
  <c r="V387"/>
  <c r="O387"/>
  <c r="J387"/>
  <c r="AC387" s="1"/>
  <c r="E387"/>
  <c r="Y387" s="1"/>
  <c r="A387"/>
  <c r="T386"/>
  <c r="O386"/>
  <c r="J386"/>
  <c r="AC386" s="1"/>
  <c r="E386"/>
  <c r="V386" s="1"/>
  <c r="A386"/>
  <c r="T385"/>
  <c r="O385"/>
  <c r="O392" s="1"/>
  <c r="J385"/>
  <c r="J392" s="1"/>
  <c r="E385"/>
  <c r="E392" s="1"/>
  <c r="Y392" s="1"/>
  <c r="A385"/>
  <c r="B383"/>
  <c r="O375"/>
  <c r="J375"/>
  <c r="T375" s="1"/>
  <c r="O373"/>
  <c r="J373"/>
  <c r="T373" s="1"/>
  <c r="E373"/>
  <c r="T372"/>
  <c r="O372"/>
  <c r="J372"/>
  <c r="AC372" s="1"/>
  <c r="E372"/>
  <c r="V372" s="1"/>
  <c r="A372"/>
  <c r="T371"/>
  <c r="O371"/>
  <c r="J371"/>
  <c r="AC371" s="1"/>
  <c r="E371"/>
  <c r="V371" s="1"/>
  <c r="A371"/>
  <c r="C368"/>
  <c r="B365"/>
  <c r="O357"/>
  <c r="O356"/>
  <c r="J356"/>
  <c r="AC356" s="1"/>
  <c r="E356"/>
  <c r="AB345" s="1"/>
  <c r="A356"/>
  <c r="V355"/>
  <c r="O355"/>
  <c r="J355"/>
  <c r="AC355" s="1"/>
  <c r="E355"/>
  <c r="Y355" s="1"/>
  <c r="A355"/>
  <c r="V344" s="1"/>
  <c r="T354"/>
  <c r="O354"/>
  <c r="J354"/>
  <c r="AC354" s="1"/>
  <c r="E354"/>
  <c r="V354" s="1"/>
  <c r="A354"/>
  <c r="V343" s="1"/>
  <c r="T353"/>
  <c r="O353"/>
  <c r="J353"/>
  <c r="J357" s="1"/>
  <c r="E353"/>
  <c r="V353" s="1"/>
  <c r="A353"/>
  <c r="O352"/>
  <c r="O384" s="1"/>
  <c r="O400" s="1"/>
  <c r="J352"/>
  <c r="J384" s="1"/>
  <c r="B351"/>
  <c r="C349"/>
  <c r="V345"/>
  <c r="AF344"/>
  <c r="AF343"/>
  <c r="AB343"/>
  <c r="AF342"/>
  <c r="AB342"/>
  <c r="V342"/>
  <c r="C336"/>
  <c r="J332"/>
  <c r="D332"/>
  <c r="O331"/>
  <c r="J331"/>
  <c r="D331"/>
  <c r="A331"/>
  <c r="O330"/>
  <c r="J330"/>
  <c r="D330"/>
  <c r="A330"/>
  <c r="O329"/>
  <c r="O332" s="1"/>
  <c r="J329"/>
  <c r="D329"/>
  <c r="A329"/>
  <c r="A327"/>
  <c r="D324"/>
  <c r="O320"/>
  <c r="J320"/>
  <c r="D320"/>
  <c r="O319"/>
  <c r="J319"/>
  <c r="D319"/>
  <c r="O318"/>
  <c r="O321" s="1"/>
  <c r="J318"/>
  <c r="J321" s="1"/>
  <c r="D313" s="1"/>
  <c r="D318"/>
  <c r="D321" s="1"/>
  <c r="P308"/>
  <c r="P307"/>
  <c r="G307"/>
  <c r="P304"/>
  <c r="P310" s="1"/>
  <c r="E301" s="1"/>
  <c r="P298"/>
  <c r="E293"/>
  <c r="P278"/>
  <c r="E265"/>
  <c r="D262"/>
  <c r="O259"/>
  <c r="J259"/>
  <c r="T259" s="1"/>
  <c r="D259"/>
  <c r="O258"/>
  <c r="J258"/>
  <c r="T258" s="1"/>
  <c r="D258"/>
  <c r="O257"/>
  <c r="J257"/>
  <c r="T257" s="1"/>
  <c r="D257"/>
  <c r="O256"/>
  <c r="O260" s="1"/>
  <c r="J256"/>
  <c r="T256" s="1"/>
  <c r="D256"/>
  <c r="O255"/>
  <c r="J255"/>
  <c r="D255"/>
  <c r="D260" s="1"/>
  <c r="O253"/>
  <c r="O316" s="1"/>
  <c r="O327" s="1"/>
  <c r="Y246"/>
  <c r="C246"/>
  <c r="O243"/>
  <c r="AC246" s="1"/>
  <c r="J243"/>
  <c r="V246" s="1"/>
  <c r="D243"/>
  <c r="A243"/>
  <c r="O242"/>
  <c r="O240" s="1"/>
  <c r="J242"/>
  <c r="AC245" s="1"/>
  <c r="D242"/>
  <c r="A242"/>
  <c r="O241"/>
  <c r="J241"/>
  <c r="AC244" s="1"/>
  <c r="D241"/>
  <c r="Y244" s="1"/>
  <c r="A241"/>
  <c r="V240"/>
  <c r="O239"/>
  <c r="J239"/>
  <c r="V242" s="1"/>
  <c r="D239"/>
  <c r="Y242" s="1"/>
  <c r="A239"/>
  <c r="O238"/>
  <c r="J238"/>
  <c r="AC241" s="1"/>
  <c r="D238"/>
  <c r="Y241" s="1"/>
  <c r="A238"/>
  <c r="O237"/>
  <c r="J237"/>
  <c r="AC240" s="1"/>
  <c r="D237"/>
  <c r="Y240" s="1"/>
  <c r="A237"/>
  <c r="O236"/>
  <c r="AC235"/>
  <c r="Y235"/>
  <c r="O235"/>
  <c r="O231" s="1"/>
  <c r="J235"/>
  <c r="AC238" s="1"/>
  <c r="D235"/>
  <c r="O234"/>
  <c r="J234"/>
  <c r="AC237" s="1"/>
  <c r="D234"/>
  <c r="Y237" s="1"/>
  <c r="O233"/>
  <c r="J233"/>
  <c r="V236" s="1"/>
  <c r="D233"/>
  <c r="D231" s="1"/>
  <c r="O232"/>
  <c r="J232"/>
  <c r="V235" s="1"/>
  <c r="D232"/>
  <c r="O229"/>
  <c r="D229"/>
  <c r="D316" s="1"/>
  <c r="D327" s="1"/>
  <c r="B228"/>
  <c r="C226"/>
  <c r="C223"/>
  <c r="D173"/>
  <c r="K168"/>
  <c r="K167"/>
  <c r="E167"/>
  <c r="P167" s="1"/>
  <c r="K166"/>
  <c r="K163"/>
  <c r="K162"/>
  <c r="K164" s="1"/>
  <c r="K169" s="1"/>
  <c r="C158"/>
  <c r="B157"/>
  <c r="K146"/>
  <c r="D154" s="1"/>
  <c r="E146"/>
  <c r="K145"/>
  <c r="P145" s="1"/>
  <c r="E145"/>
  <c r="P144"/>
  <c r="K144"/>
  <c r="E166" s="1"/>
  <c r="E144"/>
  <c r="T141"/>
  <c r="P141"/>
  <c r="D152" s="1"/>
  <c r="K141"/>
  <c r="E163" s="1"/>
  <c r="E141"/>
  <c r="T140"/>
  <c r="P140"/>
  <c r="K140"/>
  <c r="E162" s="1"/>
  <c r="E140"/>
  <c r="E142" s="1"/>
  <c r="E147" s="1"/>
  <c r="K138"/>
  <c r="A137"/>
  <c r="C135"/>
  <c r="Q131"/>
  <c r="L131"/>
  <c r="G131"/>
  <c r="L130"/>
  <c r="Q130" s="1"/>
  <c r="G130"/>
  <c r="L129"/>
  <c r="Q129" s="1"/>
  <c r="G129"/>
  <c r="L128"/>
  <c r="G128"/>
  <c r="G132" s="1"/>
  <c r="Q127"/>
  <c r="Q125"/>
  <c r="L125"/>
  <c r="G125"/>
  <c r="L124"/>
  <c r="Q124" s="1"/>
  <c r="G124"/>
  <c r="L123"/>
  <c r="L126" s="1"/>
  <c r="G123"/>
  <c r="G126" s="1"/>
  <c r="G133" s="1"/>
  <c r="C117"/>
  <c r="B116"/>
  <c r="C58"/>
  <c r="C33"/>
  <c r="C34" s="1"/>
  <c r="C35" s="1"/>
  <c r="C36" s="1"/>
  <c r="C37" s="1"/>
  <c r="C38" s="1"/>
  <c r="C39" s="1"/>
  <c r="C40" s="1"/>
  <c r="C41" s="1"/>
  <c r="C42" s="1"/>
  <c r="C43" s="1"/>
  <c r="C44" s="1"/>
  <c r="C45" s="1"/>
  <c r="C46" s="1"/>
  <c r="C47" s="1"/>
  <c r="C48" s="1"/>
  <c r="C49" s="1"/>
  <c r="C50" s="1"/>
  <c r="C51" s="1"/>
  <c r="C52" s="1"/>
  <c r="C53" s="1"/>
  <c r="C54" s="1"/>
  <c r="C55" s="1"/>
  <c r="C30"/>
  <c r="C22"/>
  <c r="C10"/>
  <c r="C9"/>
  <c r="C8"/>
  <c r="V444" l="1"/>
  <c r="D433" s="1"/>
  <c r="AC444"/>
  <c r="T444"/>
  <c r="Q126"/>
  <c r="T162"/>
  <c r="D171" s="1"/>
  <c r="E164"/>
  <c r="P162"/>
  <c r="P164" s="1"/>
  <c r="P169" s="1"/>
  <c r="T163"/>
  <c r="D172" s="1"/>
  <c r="P163"/>
  <c r="E168"/>
  <c r="P166"/>
  <c r="P168" s="1"/>
  <c r="V392"/>
  <c r="AC392"/>
  <c r="T392"/>
  <c r="D381"/>
  <c r="Y1125"/>
  <c r="AC1125"/>
  <c r="C1121"/>
  <c r="Y1265"/>
  <c r="C1260" s="1"/>
  <c r="AC1265"/>
  <c r="O427"/>
  <c r="O437"/>
  <c r="O244"/>
  <c r="T357"/>
  <c r="AC357"/>
  <c r="T454"/>
  <c r="V454"/>
  <c r="AC454"/>
  <c r="E447" s="1"/>
  <c r="T559"/>
  <c r="T568"/>
  <c r="Y587"/>
  <c r="AC587"/>
  <c r="T587"/>
  <c r="E580" s="1"/>
  <c r="V607"/>
  <c r="E601" s="1"/>
  <c r="AC607"/>
  <c r="R794"/>
  <c r="R807" s="1"/>
  <c r="R818" s="1"/>
  <c r="R728"/>
  <c r="R749"/>
  <c r="O759"/>
  <c r="C841"/>
  <c r="Y847"/>
  <c r="AC847"/>
  <c r="Y1336"/>
  <c r="AC1336"/>
  <c r="C1331" s="1"/>
  <c r="AC1387"/>
  <c r="C1382"/>
  <c r="C1594"/>
  <c r="AC1598"/>
  <c r="Y1646"/>
  <c r="AC1646"/>
  <c r="Y1650"/>
  <c r="AC1650"/>
  <c r="Y1667"/>
  <c r="AC1667"/>
  <c r="AC1682"/>
  <c r="Y1682"/>
  <c r="Y1692"/>
  <c r="AC1692"/>
  <c r="Y1694"/>
  <c r="AC1694"/>
  <c r="AC1707"/>
  <c r="Y1707"/>
  <c r="Y1716"/>
  <c r="AC1716"/>
  <c r="Y1718"/>
  <c r="AC1718"/>
  <c r="V237"/>
  <c r="Y238"/>
  <c r="AC242"/>
  <c r="V244"/>
  <c r="Y245"/>
  <c r="J260"/>
  <c r="T260" s="1"/>
  <c r="Y356"/>
  <c r="V388"/>
  <c r="Y390"/>
  <c r="AC391"/>
  <c r="Y401"/>
  <c r="Y405"/>
  <c r="Y409"/>
  <c r="AC416"/>
  <c r="AC419"/>
  <c r="Y428"/>
  <c r="V438"/>
  <c r="V439"/>
  <c r="V440"/>
  <c r="V441"/>
  <c r="AC443"/>
  <c r="Y453"/>
  <c r="Y466"/>
  <c r="AC467"/>
  <c r="AC487"/>
  <c r="T607"/>
  <c r="R984"/>
  <c r="T471"/>
  <c r="V471"/>
  <c r="T473"/>
  <c r="V473"/>
  <c r="T475"/>
  <c r="V475"/>
  <c r="F728"/>
  <c r="F716"/>
  <c r="F794" s="1"/>
  <c r="F807" s="1"/>
  <c r="F818" s="1"/>
  <c r="S836"/>
  <c r="C826" s="1"/>
  <c r="Y846"/>
  <c r="AC846"/>
  <c r="AC1018"/>
  <c r="C1016" s="1"/>
  <c r="AC1210"/>
  <c r="C1205"/>
  <c r="A1236"/>
  <c r="AC1448"/>
  <c r="C1443"/>
  <c r="AC1583"/>
  <c r="C1578" s="1"/>
  <c r="AC1620"/>
  <c r="Y1620"/>
  <c r="B1615" s="1"/>
  <c r="Y1648"/>
  <c r="AC1648"/>
  <c r="Y1652"/>
  <c r="AC1652"/>
  <c r="Y1664"/>
  <c r="AC1664"/>
  <c r="Y1666"/>
  <c r="AC1666"/>
  <c r="Y1668"/>
  <c r="AC1668"/>
  <c r="Y1680"/>
  <c r="AC1680"/>
  <c r="Y1705"/>
  <c r="AC1705"/>
  <c r="Q128"/>
  <c r="Q132" s="1"/>
  <c r="K142"/>
  <c r="D151"/>
  <c r="T233"/>
  <c r="T234"/>
  <c r="J236"/>
  <c r="AC236"/>
  <c r="V238"/>
  <c r="V241"/>
  <c r="V245"/>
  <c r="P286"/>
  <c r="P290" s="1"/>
  <c r="E281" s="1"/>
  <c r="AB344"/>
  <c r="AF345"/>
  <c r="AC353"/>
  <c r="V356"/>
  <c r="O370"/>
  <c r="E375"/>
  <c r="AC385"/>
  <c r="T388"/>
  <c r="V389"/>
  <c r="V390"/>
  <c r="V401"/>
  <c r="V402"/>
  <c r="V405"/>
  <c r="V406"/>
  <c r="V409"/>
  <c r="V410"/>
  <c r="V413"/>
  <c r="Y416"/>
  <c r="V418"/>
  <c r="V428"/>
  <c r="T438"/>
  <c r="T439"/>
  <c r="T440"/>
  <c r="T441"/>
  <c r="V442"/>
  <c r="V452"/>
  <c r="V453"/>
  <c r="T468"/>
  <c r="AC468"/>
  <c r="Y487"/>
  <c r="E479" s="1"/>
  <c r="AC483"/>
  <c r="T530"/>
  <c r="Y559"/>
  <c r="E553" s="1"/>
  <c r="Y568"/>
  <c r="E562" s="1"/>
  <c r="V583"/>
  <c r="V596"/>
  <c r="Y607"/>
  <c r="AC606"/>
  <c r="N775"/>
  <c r="AC773"/>
  <c r="R959"/>
  <c r="C954" s="1"/>
  <c r="R1047"/>
  <c r="R1073"/>
  <c r="R1192"/>
  <c r="C1732"/>
  <c r="E565"/>
  <c r="E574" s="1"/>
  <c r="E536"/>
  <c r="E546" s="1"/>
  <c r="AC540"/>
  <c r="T540"/>
  <c r="E533" s="1"/>
  <c r="V540"/>
  <c r="J550"/>
  <c r="AC547"/>
  <c r="T547"/>
  <c r="V547"/>
  <c r="AC598"/>
  <c r="T598"/>
  <c r="V598"/>
  <c r="E592" s="1"/>
  <c r="AC1179"/>
  <c r="C1174"/>
  <c r="AC1361"/>
  <c r="C1356" s="1"/>
  <c r="AC1461"/>
  <c r="C1456"/>
  <c r="AC1500"/>
  <c r="C1495" s="1"/>
  <c r="AC1529"/>
  <c r="C1523"/>
  <c r="C1566"/>
  <c r="AC1571"/>
  <c r="AC1649"/>
  <c r="Y1649"/>
  <c r="Y1679"/>
  <c r="AC1679"/>
  <c r="Y1681"/>
  <c r="AC1681"/>
  <c r="Y1702"/>
  <c r="AC1702"/>
  <c r="Y1704"/>
  <c r="AC1704"/>
  <c r="Y1706"/>
  <c r="AC1706"/>
  <c r="AC1719"/>
  <c r="Y1719"/>
  <c r="Q123"/>
  <c r="P146"/>
  <c r="J231"/>
  <c r="T235"/>
  <c r="D236"/>
  <c r="Y239" s="1"/>
  <c r="Y236"/>
  <c r="J240"/>
  <c r="D253"/>
  <c r="Y353"/>
  <c r="Y354"/>
  <c r="E357"/>
  <c r="Y357" s="1"/>
  <c r="J370"/>
  <c r="J400" s="1"/>
  <c r="Y371"/>
  <c r="Y372"/>
  <c r="AC373"/>
  <c r="C377" s="1"/>
  <c r="Y385"/>
  <c r="Y386"/>
  <c r="T390"/>
  <c r="T401"/>
  <c r="Y403"/>
  <c r="T405"/>
  <c r="Y407"/>
  <c r="T409"/>
  <c r="Y411"/>
  <c r="Y414"/>
  <c r="J420"/>
  <c r="Y420" s="1"/>
  <c r="T428"/>
  <c r="AC438"/>
  <c r="T453"/>
  <c r="V467"/>
  <c r="T469"/>
  <c r="AC469"/>
  <c r="AC471"/>
  <c r="AC473"/>
  <c r="AC475"/>
  <c r="T483"/>
  <c r="T487"/>
  <c r="AC537"/>
  <c r="V587"/>
  <c r="AC605"/>
  <c r="R755"/>
  <c r="R756" s="1"/>
  <c r="D758" s="1"/>
  <c r="R880"/>
  <c r="C1135"/>
  <c r="R1162"/>
  <c r="R1223"/>
  <c r="C1313"/>
  <c r="C1341"/>
  <c r="T466"/>
  <c r="J476"/>
  <c r="Y476" s="1"/>
  <c r="T470"/>
  <c r="V470"/>
  <c r="T472"/>
  <c r="V472"/>
  <c r="T474"/>
  <c r="V474"/>
  <c r="AC575"/>
  <c r="J577"/>
  <c r="T575"/>
  <c r="V575"/>
  <c r="Y595"/>
  <c r="E598"/>
  <c r="Y598" s="1"/>
  <c r="Y993"/>
  <c r="AC993"/>
  <c r="C992" s="1"/>
  <c r="Y1349"/>
  <c r="AC1349"/>
  <c r="C1344" s="1"/>
  <c r="AC1513"/>
  <c r="C1508"/>
  <c r="AC1540"/>
  <c r="C1534" s="1"/>
  <c r="Y1647"/>
  <c r="AC1647"/>
  <c r="Y1651"/>
  <c r="AC1651"/>
  <c r="AC1669"/>
  <c r="Y1669"/>
  <c r="Y1693"/>
  <c r="AC1693"/>
  <c r="Y1717"/>
  <c r="AC1717"/>
  <c r="D240"/>
  <c r="V385"/>
  <c r="V403"/>
  <c r="D424"/>
  <c r="Y438"/>
  <c r="AC466"/>
  <c r="AC559"/>
  <c r="AC568"/>
  <c r="V595"/>
  <c r="V597"/>
  <c r="R1008"/>
  <c r="R1034"/>
  <c r="R1060"/>
  <c r="R1086"/>
  <c r="R1285"/>
  <c r="R1310"/>
  <c r="R1422"/>
  <c r="R1474"/>
  <c r="P1931"/>
  <c r="Y505"/>
  <c r="J509"/>
  <c r="AC516"/>
  <c r="Y530"/>
  <c r="E523" s="1"/>
  <c r="Y537"/>
  <c r="AC557"/>
  <c r="AC566"/>
  <c r="Y605"/>
  <c r="Y606"/>
  <c r="C619"/>
  <c r="R1236"/>
  <c r="AC1236" s="1"/>
  <c r="R1374"/>
  <c r="AC1374" s="1"/>
  <c r="R1435"/>
  <c r="AC1435" s="1"/>
  <c r="R1487"/>
  <c r="AC1487" s="1"/>
  <c r="R1645"/>
  <c r="R1665"/>
  <c r="R1670" s="1"/>
  <c r="R1678"/>
  <c r="R1691"/>
  <c r="R1703"/>
  <c r="R1708" s="1"/>
  <c r="R1715"/>
  <c r="O1840"/>
  <c r="J1931"/>
  <c r="AC1941"/>
  <c r="D2221" s="1"/>
  <c r="AC1942"/>
  <c r="J1944"/>
  <c r="D2244"/>
  <c r="Y483"/>
  <c r="Y494"/>
  <c r="J498"/>
  <c r="V505"/>
  <c r="Y516"/>
  <c r="J520"/>
  <c r="Y520" s="1"/>
  <c r="Y527"/>
  <c r="V530"/>
  <c r="V537"/>
  <c r="AC583"/>
  <c r="AC595"/>
  <c r="V605"/>
  <c r="V606"/>
  <c r="J703"/>
  <c r="I775"/>
  <c r="AC775" s="1"/>
  <c r="AC784"/>
  <c r="I786"/>
  <c r="R1132"/>
  <c r="R1145"/>
  <c r="B1410"/>
  <c r="R1544"/>
  <c r="R1548" s="1"/>
  <c r="S1739"/>
  <c r="I1840"/>
  <c r="Y1941"/>
  <c r="V483"/>
  <c r="R795"/>
  <c r="R801" s="1"/>
  <c r="D791" s="1"/>
  <c r="AC830"/>
  <c r="B1409"/>
  <c r="C1430"/>
  <c r="C1482"/>
  <c r="AC1708" l="1"/>
  <c r="C1698" s="1"/>
  <c r="Y1708"/>
  <c r="AC1670"/>
  <c r="C1658"/>
  <c r="AC877"/>
  <c r="C875"/>
  <c r="Y877"/>
  <c r="R845"/>
  <c r="R879" s="1"/>
  <c r="R887" s="1"/>
  <c r="R902" s="1"/>
  <c r="R919" s="1"/>
  <c r="R932" s="1"/>
  <c r="I829"/>
  <c r="V498"/>
  <c r="E490" s="1"/>
  <c r="AC498"/>
  <c r="T498"/>
  <c r="Y1310"/>
  <c r="AC1310"/>
  <c r="C1305"/>
  <c r="AC1031"/>
  <c r="C1029"/>
  <c r="Y1031"/>
  <c r="J437"/>
  <c r="J451" s="1"/>
  <c r="J465" s="1"/>
  <c r="J427"/>
  <c r="Y1047"/>
  <c r="AC1047"/>
  <c r="C1042"/>
  <c r="V239"/>
  <c r="AC239"/>
  <c r="D153"/>
  <c r="T142"/>
  <c r="K147"/>
  <c r="P142"/>
  <c r="V357"/>
  <c r="B359" s="1"/>
  <c r="C1231"/>
  <c r="B360"/>
  <c r="Q133"/>
  <c r="J715"/>
  <c r="J793"/>
  <c r="J806" s="1"/>
  <c r="J817" s="1"/>
  <c r="AC1715"/>
  <c r="R1720"/>
  <c r="Y1715"/>
  <c r="AC1665"/>
  <c r="Y1665"/>
  <c r="Y1285"/>
  <c r="AC1285"/>
  <c r="C1280"/>
  <c r="Y243"/>
  <c r="D244"/>
  <c r="Y373"/>
  <c r="V373"/>
  <c r="Y1145"/>
  <c r="AC1145"/>
  <c r="C1140" s="1"/>
  <c r="Y1944"/>
  <c r="AC1944"/>
  <c r="C1927"/>
  <c r="AC1678"/>
  <c r="R1683"/>
  <c r="Y1678"/>
  <c r="AC1691"/>
  <c r="R1695"/>
  <c r="Y1691"/>
  <c r="T509"/>
  <c r="AC509"/>
  <c r="AC1422"/>
  <c r="C1417" s="1"/>
  <c r="Y1060"/>
  <c r="AC1060"/>
  <c r="C1055"/>
  <c r="AC1162"/>
  <c r="C1157"/>
  <c r="Y1073"/>
  <c r="AC1073"/>
  <c r="C1068" s="1"/>
  <c r="Y981"/>
  <c r="AC981"/>
  <c r="C980"/>
  <c r="C1369"/>
  <c r="Y498"/>
  <c r="D765"/>
  <c r="Y509"/>
  <c r="E501" s="1"/>
  <c r="Y1132"/>
  <c r="AC1132"/>
  <c r="C1128" s="1"/>
  <c r="V520"/>
  <c r="E512" s="1"/>
  <c r="AC520"/>
  <c r="T520"/>
  <c r="AC1005"/>
  <c r="C1004" s="1"/>
  <c r="Y1005"/>
  <c r="J244"/>
  <c r="V243"/>
  <c r="AC243"/>
  <c r="AC234"/>
  <c r="V234"/>
  <c r="T231"/>
  <c r="V786"/>
  <c r="AC786"/>
  <c r="S786"/>
  <c r="C778" s="1"/>
  <c r="AC1703"/>
  <c r="Y1703"/>
  <c r="AC1645"/>
  <c r="R1653"/>
  <c r="Y1645"/>
  <c r="AC1474"/>
  <c r="C1469" s="1"/>
  <c r="AC1086"/>
  <c r="C1081" s="1"/>
  <c r="V577"/>
  <c r="E571" s="1"/>
  <c r="AC577"/>
  <c r="T577"/>
  <c r="V476"/>
  <c r="E462" s="1"/>
  <c r="AC476"/>
  <c r="T476"/>
  <c r="AC1223"/>
  <c r="C1218" s="1"/>
  <c r="V420"/>
  <c r="D397" s="1"/>
  <c r="AC420"/>
  <c r="T420"/>
  <c r="D422" s="1"/>
  <c r="AC550"/>
  <c r="T550"/>
  <c r="Y550"/>
  <c r="E543" s="1"/>
  <c r="C1187"/>
  <c r="AC1188"/>
  <c r="N829"/>
  <c r="B845"/>
  <c r="B879" s="1"/>
  <c r="B887" s="1"/>
  <c r="B902" s="1"/>
  <c r="B919" s="1"/>
  <c r="B932" s="1"/>
  <c r="O465"/>
  <c r="O451"/>
  <c r="T164"/>
  <c r="E169"/>
  <c r="T169" s="1"/>
  <c r="D174" s="1"/>
  <c r="Y234"/>
  <c r="C367"/>
  <c r="Y577"/>
  <c r="L132"/>
  <c r="L133" s="1"/>
  <c r="D394"/>
  <c r="B971" l="1"/>
  <c r="B983" s="1"/>
  <c r="B995" s="1"/>
  <c r="B1007" s="1"/>
  <c r="B1020" s="1"/>
  <c r="B1033" s="1"/>
  <c r="B1046" s="1"/>
  <c r="B1059" s="1"/>
  <c r="B1072" s="1"/>
  <c r="B1085" s="1"/>
  <c r="B1124" s="1"/>
  <c r="B1131" s="1"/>
  <c r="B1144" s="1"/>
  <c r="B1161" s="1"/>
  <c r="B1178" s="1"/>
  <c r="B1191" s="1"/>
  <c r="B1209" s="1"/>
  <c r="B1222" s="1"/>
  <c r="B945"/>
  <c r="B958" s="1"/>
  <c r="J582"/>
  <c r="J594" s="1"/>
  <c r="J603" s="1"/>
  <c r="J515"/>
  <c r="J526" s="1"/>
  <c r="P147"/>
  <c r="D155" s="1"/>
  <c r="T147"/>
  <c r="C1928"/>
  <c r="AC1683"/>
  <c r="C1673"/>
  <c r="Y1683"/>
  <c r="AC1720"/>
  <c r="C1711"/>
  <c r="Y1720"/>
  <c r="Y247"/>
  <c r="AC1653"/>
  <c r="C1640" s="1"/>
  <c r="R971"/>
  <c r="R983" s="1"/>
  <c r="R995" s="1"/>
  <c r="R1007" s="1"/>
  <c r="R1020" s="1"/>
  <c r="R1033" s="1"/>
  <c r="R1046" s="1"/>
  <c r="R1059" s="1"/>
  <c r="R1072" s="1"/>
  <c r="R1085" s="1"/>
  <c r="R1124" s="1"/>
  <c r="R1131" s="1"/>
  <c r="R1144" s="1"/>
  <c r="R1161" s="1"/>
  <c r="R1178" s="1"/>
  <c r="R1191" s="1"/>
  <c r="R1209" s="1"/>
  <c r="R1222" s="1"/>
  <c r="R945"/>
  <c r="R958" s="1"/>
  <c r="O582"/>
  <c r="O594" s="1"/>
  <c r="O603" s="1"/>
  <c r="O515"/>
  <c r="O526" s="1"/>
  <c r="D250"/>
  <c r="V247"/>
  <c r="T244"/>
  <c r="AC247"/>
  <c r="C225"/>
  <c r="Y1695"/>
  <c r="AC1695"/>
  <c r="C1686" s="1"/>
  <c r="B1235" l="1"/>
  <c r="B1264"/>
  <c r="B1271" s="1"/>
  <c r="B1284" s="1"/>
  <c r="B1296" s="1"/>
  <c r="B1309" s="1"/>
  <c r="B1322" s="1"/>
  <c r="B1335" s="1"/>
  <c r="B1348" s="1"/>
  <c r="B1360" s="1"/>
  <c r="B1373" s="1"/>
  <c r="R1264"/>
  <c r="R1271" s="1"/>
  <c r="R1284" s="1"/>
  <c r="R1296" s="1"/>
  <c r="R1309" s="1"/>
  <c r="R1322" s="1"/>
  <c r="R1335" s="1"/>
  <c r="R1348" s="1"/>
  <c r="R1360" s="1"/>
  <c r="R1373" s="1"/>
  <c r="R1235"/>
  <c r="O565"/>
  <c r="O574" s="1"/>
  <c r="O536"/>
  <c r="J565"/>
  <c r="J574" s="1"/>
  <c r="J536"/>
  <c r="O556" l="1"/>
  <c r="O546"/>
  <c r="B1460"/>
  <c r="B1473" s="1"/>
  <c r="B1560"/>
  <c r="B1570" s="1"/>
  <c r="B1582" s="1"/>
  <c r="B1597" s="1"/>
  <c r="B1499"/>
  <c r="B1512" s="1"/>
  <c r="B1447"/>
  <c r="B1386"/>
  <c r="B1714"/>
  <c r="B1690"/>
  <c r="B1701" s="1"/>
  <c r="B1644"/>
  <c r="B1663" s="1"/>
  <c r="B1677" s="1"/>
  <c r="B1486"/>
  <c r="B1434"/>
  <c r="B1413"/>
  <c r="B1619"/>
  <c r="B1539"/>
  <c r="B1528"/>
  <c r="B1421"/>
  <c r="R1619"/>
  <c r="R1539"/>
  <c r="R1528"/>
  <c r="R1421"/>
  <c r="R1460"/>
  <c r="R1473" s="1"/>
  <c r="R1560"/>
  <c r="R1570" s="1"/>
  <c r="R1582" s="1"/>
  <c r="R1597" s="1"/>
  <c r="R1499"/>
  <c r="R1512" s="1"/>
  <c r="R1447"/>
  <c r="R1386"/>
  <c r="R1714"/>
  <c r="R1690"/>
  <c r="R1701" s="1"/>
  <c r="R1644"/>
  <c r="R1663" s="1"/>
  <c r="R1677" s="1"/>
  <c r="R1486"/>
  <c r="R1434"/>
  <c r="R1413"/>
  <c r="J556"/>
  <c r="J546"/>
</calcChain>
</file>

<file path=xl/sharedStrings.xml><?xml version="1.0" encoding="utf-8"?>
<sst xmlns="http://schemas.openxmlformats.org/spreadsheetml/2006/main" count="2395" uniqueCount="960">
  <si>
    <t>V. CATATAN ATAS LAPORAN KEUANGAN</t>
  </si>
  <si>
    <t>BAB  I</t>
  </si>
  <si>
    <t>PENDAHULUAN</t>
  </si>
  <si>
    <t>1.1</t>
  </si>
  <si>
    <t>Maksud Dan Tujuan Penyusunan Laporan Keuangan</t>
  </si>
  <si>
    <t>a.</t>
  </si>
  <si>
    <t>Maksud</t>
  </si>
  <si>
    <t>b.</t>
  </si>
  <si>
    <t>Tujuan</t>
  </si>
  <si>
    <t>Tujuan umum laporan keuangan adalah menyajikan informasi mengenai posisi keuangan, realisasi anggaran, dan kinerja keuangan suatu entitas akuntansi yang bermanfaat bagi para pengguna dalam membuat dan mengevaluasi keputusan mengenai alokasi sumber daya, dengan :</t>
  </si>
  <si>
    <t>Untuk mewujudkannya  akan dilakukan beberapa langkah-langkah strategis sebagai berikut:</t>
  </si>
  <si>
    <t>-</t>
  </si>
  <si>
    <t>menyediakan informasi mengenai sumber daya ekonomi, kewajiban, dan ekuitas dana pemerintah;</t>
  </si>
  <si>
    <t>menyedikan informasi mengenai perubahan posisi sumber daya ekonomi. kewajiban, dan ekuitas dana pemerintah;</t>
  </si>
  <si>
    <t>menyediakan informasi mengenai sumber, alokasi dan penggunaan sumber ekonomi;</t>
  </si>
  <si>
    <t>menyediakan informasi mengenai ketaatan realisasi terhadap anggarannya;</t>
  </si>
  <si>
    <t>menyediakan informasi mengenai cara entitas pelaporan mendanai aktivitasnya dan memenuhi kebutuhan kasnya;</t>
  </si>
  <si>
    <t>menyediakan informasi mengenai potensi pemerintah untuk membiayai penyelenggaraan pemerintahan;</t>
  </si>
  <si>
    <t>menyediakan informasi yang berguna untuk mengevaluasi kemampuan entitas pelaporan dalam mendanai aktivitasnya.</t>
  </si>
  <si>
    <r>
      <t>Tujuan spesifik laporan keuangan</t>
    </r>
    <r>
      <rPr>
        <b/>
        <sz val="11"/>
        <color indexed="8"/>
        <rFont val="Bookman Old Style"/>
        <family val="1"/>
      </rPr>
      <t xml:space="preserve"> </t>
    </r>
    <r>
      <rPr>
        <sz val="11"/>
        <color indexed="8"/>
        <rFont val="Bookman Old Style"/>
        <family val="1"/>
      </rPr>
      <t>adalah untuk menyajikan informasi yang berguna untuk pengambilan keputusan dan untuk menunjukkan transparansi dan akuntabilitas entitas akuntansi atas sumber daya yang dipercayakan kepadanya sebagai bentuk pertanggungjawaban atas pelaksanaan APBD.</t>
    </r>
  </si>
  <si>
    <t xml:space="preserve">1.      Laporan Realisasi Anggaran </t>
  </si>
  <si>
    <t>2.      Neraca</t>
  </si>
  <si>
    <t>3.      Laporan Operasional</t>
  </si>
  <si>
    <t>4.      Laporan Perubahan Ekuitas</t>
  </si>
  <si>
    <t>5.      Catatan Atas Laporan Keuangan</t>
  </si>
  <si>
    <t>1.2</t>
  </si>
  <si>
    <t>Landasan Hukum</t>
  </si>
  <si>
    <t>Suatu entitas pelaporan mengungkapkan hal – hal berikut ini apabila belum diungkapkan dalam bagian manapun dari laporan keuangan, antara lain :</t>
  </si>
  <si>
    <t>Undang-undang Nomor 17 Tahun 2003 tentang Keuangan Negara;</t>
  </si>
  <si>
    <t>Undang-undang Nomor 1 Tahun 2004 tentang Perbendaharaan Negara;</t>
  </si>
  <si>
    <t xml:space="preserve">Undang-undang Nomor 23 Tahun 2014  tentang Pemerintahan Daerah  sebagaimana telah diubah terakhir dengan Undang-undang Nomor 9 Tahun 2015 tentang Perubahan Kedua Atas Undang-undang Nomor 23 Tahun 2014 tentang Pemerintahan Daerah; </t>
  </si>
  <si>
    <t>Undang-undang Nomor 33 Tahun 2004, tentang Perimbangan Keuangan antara Pemerintah Pusat dan Pemerintah Daerah;</t>
  </si>
  <si>
    <t>Undang-undang Nomor 28 Tahun 2009, tentang Pajak Daerah  dan Retribusi Daerah;</t>
  </si>
  <si>
    <t>Peraturan Pemerintah Nomor 23 tahun 2005 tentang Pengelolaan Keuangan Badan Layanan Umum;</t>
  </si>
  <si>
    <t>Peraturan Pemerintah Nomor 55 tahun 2005 tentang Dana Perimbangan;</t>
  </si>
  <si>
    <t>Peraturan Pemerintah Nomor 58 tahun 2005 tentang Pengelolaan Keuangan Daerah;</t>
  </si>
  <si>
    <t>Peraturan Pemerintah Nomor 8 Tahun 2006 tentang Pelaporan Keuangan dan Kinerja Instansi Pemerintah;</t>
  </si>
  <si>
    <t>Peraturan Pemerintah Nomor 71 Tahun 2010 tentang Standar Akuntansi Pemerintahan;</t>
  </si>
  <si>
    <t>Peraturan Pemerintah Nomor 27 Tahun 2014 tentang Pengelolaan Barang Milik Negara/Daerah;</t>
  </si>
  <si>
    <t>Peraturan Pemerintah Nomor 38 Tahun 2016 tentang Tata Cara Tuntutan Ganti Kerugian Negara/Daerah Terhadap Pegawai Negeri Bukan Bendahara atau Pejabat Lain;</t>
  </si>
  <si>
    <t>Peraturan Badan Pemeriksa Keuangan RI Nomor 3 Tahun 2007 tentang Tata Cara Penyelesaian Ganti Keugian Negara;</t>
  </si>
  <si>
    <t>Peraturan Menteri Dalam Negeri Nomor 5 Tahun 1997 tentang Tuntutan Perbendaharaan dan Tuntutan Ganti Rugi Keuangan dan Barang Daerah;</t>
  </si>
  <si>
    <t>Peraturan Menteri Dalam Negeri Nomor 61 Tahun 2007 tentang Pedoman Teknis Pengelolaan Badan Layanan Umum Daerah;</t>
  </si>
  <si>
    <t>Peraturan Menteri Dalam Negeri Nomor 21 Tahun 2011 tentang   Perubahan Kedua Atas Peraturan Menteri Dalam Negeri Nomor 13 tahun 2006 tentang Pedoman Pengelolaan Keuangan Daerah;</t>
  </si>
  <si>
    <t>Peraturan Menteri Dalam Negeri Nomor 19 Tahun 2016 tentang Pedoman Pengelolaan Barang Milik Daerah;</t>
  </si>
  <si>
    <t>Peraturan Daerah Kabupaten Wonosobo Nomor 13 Tahun 2007 tentang Pengelolaan Keuangan Daerah Kabupaten Wonosobo (Lembaran Daerah Kabupaten Wonosobo Tahun 2008 Nomor 2, Tambahan Lembaran Daerah Kabupaten Wonosobo Tahun 2008      Nomor 2);</t>
  </si>
  <si>
    <t>Peraturan Daerah Kabupaten Wonosobo Nomor 12 Tahun 2016 tentang Organisasi Pemerintah Daerah Kabupaten Wonosobo;</t>
  </si>
  <si>
    <t>Peraturan Bupati Wonosobo Nomor  19  Tahun 2014 tentang Sistem Akuntansi Pemerintah Kab. Wonosobo ;</t>
  </si>
  <si>
    <t>Peraturan Bupati Wonosobo Nomor 30 Tahun 2016 tentang Kebijakan Akuntansi Pemerintah Kabupaten Wonosobo;</t>
  </si>
  <si>
    <t>Peraturan Daerah Kabupaten Wonosobo Nomor 13 Tahun 2016 tentang Anggaran Pendapatan dan Belanja Daerah Tahun Anggaran 2017 ;</t>
  </si>
  <si>
    <t>Peraturan Bupati Wonosobo Nomor 17 Tahun 2016 tentang Sistem dan Prosedur Pengelolaan Keuangan Daerah.</t>
  </si>
  <si>
    <t>Peraturan Daerah Kabupaten Wonosobo Nomor 14  Tahun 2017 tentang Perubahan Anggaran Pendapatan dan Belanja Daerah Tahun Anggaran 2017 ;</t>
  </si>
  <si>
    <t>1.3</t>
  </si>
  <si>
    <t>Sistematika Penulisan Catatan atas Laporan Keuangan</t>
  </si>
  <si>
    <t xml:space="preserve">Bab. I   Pendahuluan </t>
  </si>
  <si>
    <t>1.1. Maksud dan Tujuan Penyusunan Laporan Keuangan</t>
  </si>
  <si>
    <t xml:space="preserve">1.2. Landasan Hukum Penyusunan Laporan Keuangan </t>
  </si>
  <si>
    <t>1.3. Sistematika Penulisan Catatan atas Laporan Keuangan</t>
  </si>
  <si>
    <t xml:space="preserve">Bab. II    Ikhtisar pencapaian kinerja keuangan </t>
  </si>
  <si>
    <t>2.1.</t>
  </si>
  <si>
    <t xml:space="preserve">Ikhtisar realisasi pencapaian target kinerja keuangan </t>
  </si>
  <si>
    <t>2.2. </t>
  </si>
  <si>
    <t>Hambatan dan Kendala yang ada dalam pencapaian target yang telah ditetapkan</t>
  </si>
  <si>
    <t>Bab. III   Penjelasan pos-pos laporan keuangan</t>
  </si>
  <si>
    <t>3.1. Laporan Realisasi Anggaran</t>
  </si>
  <si>
    <t>3.1.1.  Pendapatan LRA</t>
  </si>
  <si>
    <t>3.1.2.  Belanja LRA</t>
  </si>
  <si>
    <t>3.2. Neraca</t>
  </si>
  <si>
    <t>3.2.1.  Aset</t>
  </si>
  <si>
    <t>3.2.2.  Kewajiban</t>
  </si>
  <si>
    <t>3.2.3.  Ekuitas</t>
  </si>
  <si>
    <t>3.3. Laporan Operasional</t>
  </si>
  <si>
    <t>3.3.1.  Pendapatan LO</t>
  </si>
  <si>
    <t>3.3.2.  Beban LO</t>
  </si>
  <si>
    <t xml:space="preserve">3.3.3.  Surplus / Defisit </t>
  </si>
  <si>
    <t>3.4. Laporan Perubahan ekuitas</t>
  </si>
  <si>
    <t>3.4.1. Perubahan ekuitas</t>
  </si>
  <si>
    <t>Bab. IV   Penjelasan Atas Informasi Non Keuangan</t>
  </si>
  <si>
    <t>Bab. V    Penutup</t>
  </si>
  <si>
    <t>BAB II</t>
  </si>
  <si>
    <t>IKHTISAR PENCAPIAN KINERJA KEUANGAN</t>
  </si>
  <si>
    <t>2.1</t>
  </si>
  <si>
    <t>Iktisar Realisasi Pencapaian Target Kinerja Keuangan.</t>
  </si>
  <si>
    <t>Hal ini disebabkan oleh adanya program penghematan belanja pemerintah dan adanya perubahan kegiatan sesuai dengan kebutuhan dan situasi serta kondisi pada saat pelaksanaan. Perubahan tersebut berdasarkan sumber pendapatan dan jenis belanja adalah sebagai berikut:</t>
  </si>
  <si>
    <t>Uraian</t>
  </si>
  <si>
    <t>Anggaran Penetapan</t>
  </si>
  <si>
    <t>Anggaran Perubahan</t>
  </si>
  <si>
    <t>Naik/ (Turun)</t>
  </si>
  <si>
    <t>Pendapatan</t>
  </si>
  <si>
    <t xml:space="preserve"> Pendapatan Asli daerah</t>
  </si>
  <si>
    <t xml:space="preserve"> Pendapatan Transfer</t>
  </si>
  <si>
    <t xml:space="preserve"> Lain-Lain Pendaptn. Yang Sah</t>
  </si>
  <si>
    <t>Jumlah Pendapatan</t>
  </si>
  <si>
    <t>Belanja</t>
  </si>
  <si>
    <t xml:space="preserve"> Belanja Operasi</t>
  </si>
  <si>
    <t xml:space="preserve"> Belanja Modal</t>
  </si>
  <si>
    <t xml:space="preserve"> Belanja Tak Terduga</t>
  </si>
  <si>
    <t xml:space="preserve"> Belanja Transfer</t>
  </si>
  <si>
    <t>Jumlah Belanja</t>
  </si>
  <si>
    <t>Surplus /Defisit</t>
  </si>
  <si>
    <t>Anggaran Setelah Perubahan</t>
  </si>
  <si>
    <t>Lebih/(Kurang) dari Anggaran</t>
  </si>
  <si>
    <t xml:space="preserve">% </t>
  </si>
  <si>
    <t>Pendapatan dan Belanja</t>
  </si>
  <si>
    <t>Surplus/(Defisit)</t>
  </si>
  <si>
    <t>Pembiayaan</t>
  </si>
  <si>
    <t>Penerimaan Pembiayaan</t>
  </si>
  <si>
    <t>Pengeluaran Pembiayaan</t>
  </si>
  <si>
    <t>Pembiayaan Netto</t>
  </si>
  <si>
    <t>SILPA</t>
  </si>
  <si>
    <t>Dari Tabel tersebut diatas dapat dilihat bahwa :</t>
  </si>
  <si>
    <t xml:space="preserve"> 1.</t>
  </si>
  <si>
    <t>2.</t>
  </si>
  <si>
    <t>3.</t>
  </si>
  <si>
    <t>4.</t>
  </si>
  <si>
    <t>5.</t>
  </si>
  <si>
    <t>Realisasi TA 2017</t>
  </si>
  <si>
    <t>Realisasi TA 2016</t>
  </si>
  <si>
    <t>%</t>
  </si>
  <si>
    <t>1.</t>
  </si>
  <si>
    <t>2.1.3. Hambatan Dan Kendala Yang Dihadapi.</t>
  </si>
  <si>
    <t>Hambatan dalam pencapaian target Pendapatan tidak diketemukan karena target yang sudah ditetapkan dapat terlampaui</t>
  </si>
  <si>
    <t>Hambatan dalam pencapaian target Belanja dikarenakan mepetnya waktu pelaksanaan dan curah hujan yang cukup tinggi di akhir tahun 2017</t>
  </si>
  <si>
    <t>BAB III</t>
  </si>
  <si>
    <t>PENJELASAN POS-POS LAPORAN KEUANGAN</t>
  </si>
  <si>
    <t>3.1.</t>
  </si>
  <si>
    <t>Laporan Realisaasi Anggaran (LRA)</t>
  </si>
  <si>
    <t>A.</t>
  </si>
  <si>
    <t>Pendapatan-LRA</t>
  </si>
  <si>
    <t>% +/-</t>
  </si>
  <si>
    <t>Anggaran</t>
  </si>
  <si>
    <t>Realisasi</t>
  </si>
  <si>
    <t>Pendapatan Asli Daerah</t>
  </si>
  <si>
    <t>Pajak Daerah</t>
  </si>
  <si>
    <t>Retribusi Daerah</t>
  </si>
  <si>
    <t>% dari Ang</t>
  </si>
  <si>
    <t>-/+ Angg</t>
  </si>
  <si>
    <t>% dari Angg</t>
  </si>
  <si>
    <t>-/+ 2016</t>
  </si>
  <si>
    <t>Hasil Pengelolaan Kekayaan Daerah Yang Dipisahkan</t>
  </si>
  <si>
    <t>Lain-lain PAD yang sah</t>
  </si>
  <si>
    <t>Pendapatan Transfer</t>
  </si>
  <si>
    <t>Lain-Lain Pendapatan Yang Sah</t>
  </si>
  <si>
    <t>Jumlah</t>
  </si>
  <si>
    <t xml:space="preserve">Realisasi masing-masing pendapatan secara rinci dapat dijelaskan sebagai berikut : </t>
  </si>
  <si>
    <t>Adapun rincian masing-masing pendapatan asli daerah adalah sebagai berikut :</t>
  </si>
  <si>
    <t>- Pendapatan BLUD</t>
  </si>
  <si>
    <t>No</t>
  </si>
  <si>
    <t>Pajak Hotel</t>
  </si>
  <si>
    <t>Pajak Restoran</t>
  </si>
  <si>
    <t>Pajak Hiburan</t>
  </si>
  <si>
    <t>Pajak Reklame</t>
  </si>
  <si>
    <t>Pajak Penerangan Jalan</t>
  </si>
  <si>
    <t>Pajak Parkir</t>
  </si>
  <si>
    <t>Pajak Air Tanah</t>
  </si>
  <si>
    <t>Pajak Mineral Bukan Logam dan Batuan</t>
  </si>
  <si>
    <t>Pajak Bumi dan Bangunan Pedesaaan dan Perkotaan</t>
  </si>
  <si>
    <t xml:space="preserve">Bea Perolehan Hak Atas Tanah dan Bangunan </t>
  </si>
  <si>
    <t xml:space="preserve">Jumlah </t>
  </si>
  <si>
    <t>Retribusi Pelayanan Kesehatan</t>
  </si>
  <si>
    <t>Retribusi Pelayanan Pasar</t>
  </si>
  <si>
    <t>Retribusi Pemakaian Kekayaan Daerah</t>
  </si>
  <si>
    <t>Retribusi Terminal</t>
  </si>
  <si>
    <t>Retribusi Tempat Khusus Parkir</t>
  </si>
  <si>
    <t>Retribusi Tempat Rekreasi dan Olah Raga</t>
  </si>
  <si>
    <t>c.</t>
  </si>
  <si>
    <t>Bagian Laba Penyertaan Modal pada BUMD</t>
  </si>
  <si>
    <t>Bagian Laba Penyertaan Modal pada Swasta</t>
  </si>
  <si>
    <t>Lain-lain PAD Yang Sah</t>
  </si>
  <si>
    <t>Hasil Penjualan Aset Daerah Yang Dipisahkan</t>
  </si>
  <si>
    <t>Penerimaan Jasa Giro</t>
  </si>
  <si>
    <t>Pendapatan Bunga</t>
  </si>
  <si>
    <t>Pendapatan Dari Pengembalian</t>
  </si>
  <si>
    <t>Lain-lain PAD Yang Sah Lainnya</t>
  </si>
  <si>
    <t>Adapun rincian masing-masing pendapatan transfer adalah sebagai berikut :</t>
  </si>
  <si>
    <t>Transfer Pemerintah Pusat-Dana Perimbangan</t>
  </si>
  <si>
    <t>Transfer Pemerintah Pusat-Lainnya</t>
  </si>
  <si>
    <t>Transfer Pemerintah Provinsi</t>
  </si>
  <si>
    <t>JUMLAH</t>
  </si>
  <si>
    <t xml:space="preserve"> </t>
  </si>
  <si>
    <t>Lain-lain Pendapatan Yang Sah</t>
  </si>
  <si>
    <t>Adapun rincian lain-lain pendapatan yang sah adalah sebagai berikut :</t>
  </si>
  <si>
    <t>B.</t>
  </si>
  <si>
    <r>
      <t>Belanja adalah semua pengeluaran dari rekening kas umum daerah yang mengurangi saldo anggaran  lebih dalam periode tahun anggaran bersangkutan yang tidak akan diperoleh pembayarannya kembali oleh pemerintah. Belanja Daerah meliputi Belanja Operasi, Belanja Modal, Belanja Tak Terduga dan Transfer.</t>
    </r>
    <r>
      <rPr>
        <sz val="11"/>
        <color indexed="12"/>
        <rFont val="Bookman Old Style"/>
        <family val="1"/>
      </rPr>
      <t xml:space="preserve"> </t>
    </r>
    <r>
      <rPr>
        <sz val="11"/>
        <color indexed="8"/>
        <rFont val="Bookman Old Style"/>
        <family val="1"/>
      </rPr>
      <t xml:space="preserve"> </t>
    </r>
  </si>
  <si>
    <t xml:space="preserve">Realisasi </t>
  </si>
  <si>
    <t>+\-%</t>
  </si>
  <si>
    <t>Jumlah anggaran yang lebih kecil dari tahun 2016</t>
  </si>
  <si>
    <t>Mepetnya waktu pelaksanaan dan curah hujan yang cukup tinggi pada akhir tahun 2017</t>
  </si>
  <si>
    <t>Belanja Operasi</t>
  </si>
  <si>
    <t>Belanja Hibah</t>
  </si>
  <si>
    <t>Belanja Bantuan Sosial</t>
  </si>
  <si>
    <t>Adapun rincian masing-masing belanja operasi sebagai berikut:</t>
  </si>
  <si>
    <t>1.    Belanja Pegawai</t>
  </si>
  <si>
    <t xml:space="preserve">Belanja Pegawai adalah belanja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 </t>
  </si>
  <si>
    <t>Belanja Pegawai</t>
  </si>
  <si>
    <t xml:space="preserve">Belanja Barang </t>
  </si>
  <si>
    <t>-/+ 2017</t>
  </si>
  <si>
    <t>-/+ 2018</t>
  </si>
  <si>
    <t>-/+ 2019</t>
  </si>
  <si>
    <t>-/+ 2020</t>
  </si>
  <si>
    <t>-/+ 2021</t>
  </si>
  <si>
    <t>-/+ 2022</t>
  </si>
  <si>
    <t>-/+ 2023</t>
  </si>
  <si>
    <t>-/+ 2024</t>
  </si>
  <si>
    <t>-/+ 2025</t>
  </si>
  <si>
    <t>Belanja Modal</t>
  </si>
  <si>
    <t>Belanja modal merupakan pengeluaran anggaran untuk perolehan aset tetap dan aset lainnya yang memberi manfaat lebih dari satu periode akuntansi.</t>
  </si>
  <si>
    <t>Belanja Modal Tanah</t>
  </si>
  <si>
    <t>Belanja Modal Tanah Bangunan Gedung</t>
  </si>
  <si>
    <t>Pengadaan tanah untuk bangunan  gedung tidak ada karena tidak ada pos anggarannya</t>
  </si>
  <si>
    <t>Belanja Modal Tanah Bangunan Bukan Gedung</t>
  </si>
  <si>
    <t>Pengadaan tanah digunakan untuk Tanah bangunan bukan gedung ( jalan kabupaten )</t>
  </si>
  <si>
    <t>Belanja Modal Peralatan dan Mesin</t>
  </si>
  <si>
    <t>Belanja Modal Pengadaan Alat Bantu/besar darat.</t>
  </si>
  <si>
    <t>Belaja modal pengadaan alat bantu digunakan sebagaimana tabel dibawah ini :</t>
  </si>
  <si>
    <t>Alat Bantu</t>
  </si>
  <si>
    <t>Realisasi                      TA 2017</t>
  </si>
  <si>
    <t>Realisasi                      TA 2016</t>
  </si>
  <si>
    <t xml:space="preserve"> - alat nesar darat</t>
  </si>
  <si>
    <t xml:space="preserve"> - Alat Pendingan</t>
  </si>
  <si>
    <t xml:space="preserve"> - Alat Dapur</t>
  </si>
  <si>
    <t xml:space="preserve"> - Alat RT Lainnya</t>
  </si>
  <si>
    <t>Belanja Modal Pengadaan Alat Angkutan.</t>
  </si>
  <si>
    <t>Belaja modal pengadaan alat angkutan  digunakan sebagaimana tabel dibawah ini :</t>
  </si>
  <si>
    <t>Alat angkut</t>
  </si>
  <si>
    <t xml:space="preserve"> - Alat angkutan</t>
  </si>
  <si>
    <t>Belanja Modal Pengadaan Alat Kantor.</t>
  </si>
  <si>
    <t>Belaja modal pengadaan alat kantor digunakan sebagaimana tabel dibawah ini :</t>
  </si>
  <si>
    <t>Alat kantor</t>
  </si>
  <si>
    <t xml:space="preserve"> - Mebelair</t>
  </si>
  <si>
    <t>Belanja Modal Pengadaan Alat Rumah Tangga.</t>
  </si>
  <si>
    <t>Belaja modal pengadaan alat rumah tangga digunakan sebagaimana tabel dibawah ini :</t>
  </si>
  <si>
    <t>Alat Rumah Tangga</t>
  </si>
  <si>
    <t>Belanja Modal Pengadaan Komputer</t>
  </si>
  <si>
    <t>Rincian belaja modal pengadaan komputer sebagaimana tabel dibawah ini :</t>
  </si>
  <si>
    <t>Pengadaan Komputer</t>
  </si>
  <si>
    <t xml:space="preserve"> - Personal Komputer</t>
  </si>
  <si>
    <t xml:space="preserve"> - Mini Komputer</t>
  </si>
  <si>
    <t xml:space="preserve"> - Peralatan Personal Komputer</t>
  </si>
  <si>
    <t>Belanja Modal Pengadaan Alat Studio</t>
  </si>
  <si>
    <t xml:space="preserve"> - CCTV</t>
  </si>
  <si>
    <t>Belanja Modal Pengadaan Alat Komunikasi</t>
  </si>
  <si>
    <t>Rincian belaja modal pengadaan alat komunikasi sebagaimana tabel dibawah ini :</t>
  </si>
  <si>
    <t>Pengadaan alat  Komunikasi</t>
  </si>
  <si>
    <t>Belanja Modal Pengadaan Alat pemel tanaman</t>
  </si>
  <si>
    <t>Rincian belaja modal pengadaan alat Pemel Tanaman sebagaimana tabel dibawah ini :</t>
  </si>
  <si>
    <t>Alat Pemel Tanaman</t>
  </si>
  <si>
    <t>alat Pemel tanaman</t>
  </si>
  <si>
    <t>Belanja Modal Pengadaan Alat Ukur</t>
  </si>
  <si>
    <t>Rincian belaja modal pengadaan alat Ukur sebagaimana tabel dibawah ini :</t>
  </si>
  <si>
    <t>Alat Ukur</t>
  </si>
  <si>
    <t xml:space="preserve"> - Alat Kedokteran Gigi</t>
  </si>
  <si>
    <t>Belanja Modal Pengadaan Unit -Unit Laboratorium</t>
  </si>
  <si>
    <t>Rincian belaja modal pengadaan unit - unit sebagaimana tabel dibawah ini :</t>
  </si>
  <si>
    <t xml:space="preserve"> - Unit-unit Laboratorium</t>
  </si>
  <si>
    <t>Belanja Modal Gedung dan Bangunan</t>
  </si>
  <si>
    <t>Gedung dan Bangunan</t>
  </si>
  <si>
    <t>- Bangunan gedung kantor</t>
  </si>
  <si>
    <t xml:space="preserve">- Bangunan gudang </t>
  </si>
  <si>
    <t>- Bangunan kesehatan</t>
  </si>
  <si>
    <t>- Bangunan Gedung Tempat Kerja Lainnya</t>
  </si>
  <si>
    <t>Belanja bangunan Gedung  tersebut berupa  Rehabilitasi Sedang/Berat Gedung Kantor UPTD Garung,Penataan Lingkungan Kantor DPUK Kabupaten Wonosobo,Rehabilitasi Sedang/Berat Gedung Kantor UPTD Wonosobo,Rehabilitasi Sedang/Berat Gedung Kantor UPTD Sukoharjo</t>
  </si>
  <si>
    <t>d.</t>
  </si>
  <si>
    <t>Belanja Modal Jalan, Irigasi, dan Jaringan</t>
  </si>
  <si>
    <t>Jalan, Irigasi &amp; Jaringan</t>
  </si>
  <si>
    <t>e.</t>
  </si>
  <si>
    <t>Belanja Modal Aset Tetap Lainnya</t>
  </si>
  <si>
    <t>Aset Tetap Lainnya</t>
  </si>
  <si>
    <t>3.2.</t>
  </si>
  <si>
    <t>NERACA</t>
  </si>
  <si>
    <t>URAIAN</t>
  </si>
  <si>
    <t>Aset</t>
  </si>
  <si>
    <t>Kewajiban</t>
  </si>
  <si>
    <t>Ekuitas</t>
  </si>
  <si>
    <t>Jumlah Kewajiban &amp; Ekuitas</t>
  </si>
  <si>
    <t>3.2.1</t>
  </si>
  <si>
    <t xml:space="preserve">ASET </t>
  </si>
  <si>
    <t xml:space="preserve">   A.  ASET LANCAR</t>
  </si>
  <si>
    <t>Kas dan setara kas</t>
  </si>
  <si>
    <t>Rp.</t>
  </si>
  <si>
    <t>Investasi Jangka Pendek</t>
  </si>
  <si>
    <t>Piutang Pendapatan</t>
  </si>
  <si>
    <t>Penyisihan Piutang</t>
  </si>
  <si>
    <t>Beban di Bayar di Muka</t>
  </si>
  <si>
    <t>6.</t>
  </si>
  <si>
    <t>Persediaan</t>
  </si>
  <si>
    <t>Kas dan Setara Kas</t>
  </si>
  <si>
    <t>Kas di Bendahara Penerimaan</t>
  </si>
  <si>
    <t>Kas di Bendahara Pengeluaran</t>
  </si>
  <si>
    <t>Kas di BLUD</t>
  </si>
  <si>
    <t>Kas Lainnya</t>
  </si>
  <si>
    <t xml:space="preserve">Kas di Bendahara Penerimaan meliputi saldo uang tunai dan saldo rekening di bank yang berada di bawah tanggung jawab Bendahara Penerimaan yang sumbernya berasal dari pelaksanaan tugas pemerintahan berupa Penerimaan Daerah. </t>
  </si>
  <si>
    <t>Rincian Kas di Bendahara Penerimaan</t>
  </si>
  <si>
    <t>Keterangan</t>
  </si>
  <si>
    <t>Tunai</t>
  </si>
  <si>
    <t>Bank</t>
  </si>
  <si>
    <t>Rincian Kas di Bendahara Pengeluaran adalah sebagai berikut:</t>
  </si>
  <si>
    <t xml:space="preserve">Rincian Kas di Bendahara Pengeluaran </t>
  </si>
  <si>
    <t>Bank…</t>
  </si>
  <si>
    <t>Kas BLUD</t>
  </si>
  <si>
    <t xml:space="preserve">Kas  merupakan kas yang ada di rekening giro maupun deposito yang merupakan kas dan setara kas. Rincian sumber Kas Blud pada tanggal pelaporan adalah sebagai berikut: </t>
  </si>
  <si>
    <t xml:space="preserve">Rincian Kas </t>
  </si>
  <si>
    <t xml:space="preserve">Kas Rekening Giro </t>
  </si>
  <si>
    <t>Deposito Rek...</t>
  </si>
  <si>
    <t>2. Investasi Jangka Pendek</t>
  </si>
  <si>
    <t xml:space="preserve">Pada Dinas Pekerjaan Umum dan Penataan Ruang tidak ada Investasi </t>
  </si>
  <si>
    <t>3. Piutang Pendapatan</t>
  </si>
  <si>
    <t xml:space="preserve">Piutang Pendapatan  merupakan hak atau pengakuan pemerintah atas uang atau jasa terhadap pelayanan yang telah diberikan namun belum diselesaikan pembayarannya. Rincian Piutang Pendapatan sebagai berikut: </t>
  </si>
  <si>
    <t>Rincian Piutang Pendapatan</t>
  </si>
  <si>
    <t>Penjelasan masing-masing piutang sebagai berikut :</t>
  </si>
  <si>
    <t>Piutang Pajak Daerah</t>
  </si>
  <si>
    <t>NO</t>
  </si>
  <si>
    <t>SALDO AWAL</t>
  </si>
  <si>
    <t>SALDO AKHIR</t>
  </si>
  <si>
    <t>DEBIT</t>
  </si>
  <si>
    <t>KREDIT</t>
  </si>
  <si>
    <t>Hotel</t>
  </si>
  <si>
    <t>2.933.317.200</t>
  </si>
  <si>
    <t>14.715.086.200</t>
  </si>
  <si>
    <t>3.222.834.800</t>
  </si>
  <si>
    <t>Restoran</t>
  </si>
  <si>
    <t>5.626.438.632</t>
  </si>
  <si>
    <t>38.904.776.062</t>
  </si>
  <si>
    <t>3.222.834.801</t>
  </si>
  <si>
    <t>Reklame</t>
  </si>
  <si>
    <t>5.626.438.633</t>
  </si>
  <si>
    <t>3.222.834.802</t>
  </si>
  <si>
    <t>PPJU</t>
  </si>
  <si>
    <t>5.626.438.634</t>
  </si>
  <si>
    <t>3.222.834.803</t>
  </si>
  <si>
    <t>5.626.438.635</t>
  </si>
  <si>
    <t>3.222.834.804</t>
  </si>
  <si>
    <t>PBB</t>
  </si>
  <si>
    <t>5.626.438.636</t>
  </si>
  <si>
    <t>3.222.834.805</t>
  </si>
  <si>
    <t>BPHTB</t>
  </si>
  <si>
    <t>5.626.438.637</t>
  </si>
  <si>
    <t>3.222.834.806</t>
  </si>
  <si>
    <t>3.222.834.807</t>
  </si>
  <si>
    <t>Piutang Retribusi</t>
  </si>
  <si>
    <t>Piutang Retribusi Pelayanan Kesehatan</t>
  </si>
  <si>
    <t>Piutang Retribusi Pelayanan Persampahan</t>
  </si>
  <si>
    <t>Piutang Transfer Pemerintah Daerah Lainnya</t>
  </si>
  <si>
    <t>5.626.438.638</t>
  </si>
  <si>
    <t>5.626.438.639</t>
  </si>
  <si>
    <t>Piutang Hasil Pengelolaan Kekayaan Daerah yang Dipisahkan</t>
  </si>
  <si>
    <t>Piutang Lain-lain PAD Yang Sah</t>
  </si>
  <si>
    <t>Piutang BLUD</t>
  </si>
  <si>
    <t>Piutang..</t>
  </si>
  <si>
    <t>Piutang BLUD adalah piutang yang dicatat, diakui dan dikuasi oleh BLUD, yang bersumber dari Jasa Layanan, Hibah, Hasil Kerjasama maupun Lain-Lain Pendapatan BLUD Yang Sah, penjelasan mutasi sebagai berikut :</t>
  </si>
  <si>
    <t>1</t>
  </si>
  <si>
    <t>2</t>
  </si>
  <si>
    <t>Piutang Pendapatan Lainnya</t>
  </si>
  <si>
    <t>Bagian Lancar Tuntutan Ganti Kerugian Daerah</t>
  </si>
  <si>
    <t>5. Penyisihan Piutang Tak Tertagih</t>
  </si>
  <si>
    <t>Penyisihan Piutang Tak Tertagih adalah merupakan estimasi atas ketidaktertagihan piutang lancar yang ditentukan oleh kualitas piutang masing-masing debitur. Perhitungan penyisihan piutang tidak tertagih berdasarkan Peraturan Bupati Wonosobo Nomor 30 Tahun 2016 tentang Kebijakan Akuntansi Pemerintah Kabupaten Wonosobo. Rincian Penyisihan Piutang Tak Tertagih pada tanggal pelaporan adalah sebagai berikut:</t>
  </si>
  <si>
    <t>Rincian Penyisihan Piutang Tak Tertagih</t>
  </si>
  <si>
    <t>Kualitas Piutang</t>
  </si>
  <si>
    <t>Nilai Piutang Jk Pendek</t>
  </si>
  <si>
    <t>% Penyisihan</t>
  </si>
  <si>
    <t>Nilai Penyisihan</t>
  </si>
  <si>
    <t>Piutang Bukan Pajak :</t>
  </si>
  <si>
    <t>Lancar</t>
  </si>
  <si>
    <t>Kurang Lancar</t>
  </si>
  <si>
    <t>Diragukan</t>
  </si>
  <si>
    <t>Macet</t>
  </si>
  <si>
    <t>Bagian Lancar TP/TGR :</t>
  </si>
  <si>
    <t>Bagian Lancar TPA :</t>
  </si>
  <si>
    <t>Jumlah Penyisihan Piutang Tak Tertagih</t>
  </si>
  <si>
    <t>Rp</t>
  </si>
  <si>
    <t>6.    Beban Di Bayar Di Muka</t>
  </si>
  <si>
    <t>Beban dibayar di muka merupakan hak yang masih harus diterima setelah tanggal neraca sebagai akibat dari pengadaan barang/jasa yang telah dibayarkan secara penuh namun barang atau jasa tersebut belum diterima seluruhnya. Rincian Beban Dibayar di Muka adalah sebagai berikut:</t>
  </si>
  <si>
    <t>Rincian Beban Di Bayar di Muka</t>
  </si>
  <si>
    <t>7. Persediaan</t>
  </si>
  <si>
    <t>Rincian Persediaan</t>
  </si>
  <si>
    <t>Jenis</t>
  </si>
  <si>
    <t xml:space="preserve">Semua jenis persediaan pada tanggal pelaporan berada dalam kondisi baik. </t>
  </si>
  <si>
    <t>Adapun rincian dari masing-masing persediaan adalah sebagai berikut :</t>
  </si>
  <si>
    <t>a.    Persediaan Bahan Pakai Habis</t>
  </si>
  <si>
    <t xml:space="preserve">Alat Tulis Kantor </t>
  </si>
  <si>
    <t>Cetak</t>
  </si>
  <si>
    <t>Kebersihan</t>
  </si>
  <si>
    <t>Tabung Gas</t>
  </si>
  <si>
    <t xml:space="preserve">Pakaian Kerja Lapangan </t>
  </si>
  <si>
    <t xml:space="preserve">Bahan dan Alat Rumah Tangga </t>
  </si>
  <si>
    <t>b.    Persediaan Bahan/Material</t>
  </si>
  <si>
    <t xml:space="preserve">Bahan Makanan Pasien </t>
  </si>
  <si>
    <t>Bahan /matrial</t>
  </si>
  <si>
    <t>Kimia</t>
  </si>
  <si>
    <t>2.933.317.202</t>
  </si>
  <si>
    <t>14.715.086.202</t>
  </si>
  <si>
    <t>Radiologi</t>
  </si>
  <si>
    <t>2.933.317.203</t>
  </si>
  <si>
    <t>14.715.086.203</t>
  </si>
  <si>
    <t>c.    Persediaan Barang Lainnya</t>
  </si>
  <si>
    <t>Barang akan diserahkan ke P3</t>
  </si>
  <si>
    <t>Dll</t>
  </si>
  <si>
    <t>2.933.317.201</t>
  </si>
  <si>
    <t>14.715.086.201</t>
  </si>
  <si>
    <t xml:space="preserve">   B.  INVESTASI JANGKA PANJANG</t>
  </si>
  <si>
    <t>Pada dinas Pekerjaan Umum dan Penataan Ruang tidak terdapat Investasi .</t>
  </si>
  <si>
    <t xml:space="preserve">   C.  ASET TETAP DAN AKUMULASI PENYUSUTAN</t>
  </si>
  <si>
    <t>Rincian Aset Tetap</t>
  </si>
  <si>
    <t>Aset Tetap</t>
  </si>
  <si>
    <t>2017-2016</t>
  </si>
  <si>
    <t>Tanah</t>
  </si>
  <si>
    <t>Peralatan dan Mesin</t>
  </si>
  <si>
    <t>Jalan, Irigasi dan Jaringan</t>
  </si>
  <si>
    <t>Akumulasi Penyusutan Aset Tetap</t>
  </si>
  <si>
    <t>Adapun penjelasan mutasi penambahan dan pengurangan aset tetap sebagai berikut :</t>
  </si>
  <si>
    <t>Mutasi nilai tanah tersebut dapat dijelaskan sebagai berikut:</t>
  </si>
  <si>
    <t>Saldo Awal</t>
  </si>
  <si>
    <t>Koreksi</t>
  </si>
  <si>
    <t>Mutasi</t>
  </si>
  <si>
    <t>Saldo Akhir</t>
  </si>
  <si>
    <t>D</t>
  </si>
  <si>
    <t>K</t>
  </si>
  <si>
    <t>% 2017-2016</t>
  </si>
  <si>
    <t>Penjelasan Mutasi :</t>
  </si>
  <si>
    <t>1. Penambahan Aset</t>
  </si>
  <si>
    <t xml:space="preserve">     - Pengadaan belanja modal TA 2017 sebesar Rp.8.900.427.600 Berupa</t>
  </si>
  <si>
    <t xml:space="preserve">       Tanah untuk bangunan bukan gedung seluas 38.086 M2 lokasi Desa Purwojati seluas 3.419 m2, Desa Purwojati dan Karangluhur seluas 14.770 dan Desa Keseneng - Sojopuro seluas 19.897 m2</t>
  </si>
  <si>
    <t>2. Pengurangan Aset</t>
  </si>
  <si>
    <t>Mutasi ke Dinas Lingkungan Hidup berupa tanah jalan A. Yani( taman Plaza ) senilai Rp.1.608.210.000, Tanah di kel Wonorejo ( TPA )senilai Rp. 1.329.300.408 dan Tanah di Kel.Tawangsari ( Taman Fatmawati ) senilai Rp. 5.389.350.000</t>
  </si>
  <si>
    <t>Nilai</t>
  </si>
  <si>
    <t>Mutasi nilai Peralatan dan Mesin tersebut dapat dijelaskan sebagai berikut:</t>
  </si>
  <si>
    <t/>
  </si>
  <si>
    <t>Alat-alat Besar Darat</t>
  </si>
  <si>
    <t>a. Penambahan Aset</t>
  </si>
  <si>
    <t xml:space="preserve"> alat .High Jack Grimonz Selfloader dan koreksi dari Unit unit laboratorium berupa Laboratory concrete mixer dan concrete cyinder mold senilai Rp 24.882.000 </t>
  </si>
  <si>
    <t>b. Pengurangan Aset</t>
  </si>
  <si>
    <t>Dimutasi ke DLH berupa Diesel Penyiraman, pompa air, mesin pompa Aerator, jet pump pembersih armada,  genset dan alat sedot WC</t>
  </si>
  <si>
    <t>Alat-alat Bantu</t>
  </si>
  <si>
    <t xml:space="preserve">     - Pengadaan belanja modal TA 2017 sebesar Rp. 0,00</t>
  </si>
  <si>
    <t>Dimutasi ke DLH berupa Diesel Penyiraman,pompa air,mesin pompa Aerator, jet pump pembersih armada, genset dan alat sedot WC</t>
  </si>
  <si>
    <t>Alat Angkutan Darat Bermotor</t>
  </si>
  <si>
    <t>Penjelasan mutasi :</t>
  </si>
  <si>
    <t>Alat  Angkutan Darat Tak Bermotor</t>
  </si>
  <si>
    <t>Alat  bengkel bermesin</t>
  </si>
  <si>
    <t>Alat  bengkel tak bermesin</t>
  </si>
  <si>
    <t>7.</t>
  </si>
  <si>
    <t>Alat  Ukur</t>
  </si>
  <si>
    <t>8.</t>
  </si>
  <si>
    <t>Alat  Pengolahan</t>
  </si>
  <si>
    <t>9.</t>
  </si>
  <si>
    <t>Alat  Kantor</t>
  </si>
  <si>
    <t>10.</t>
  </si>
  <si>
    <t>Alat Rumah tangga</t>
  </si>
  <si>
    <t>11.</t>
  </si>
  <si>
    <t>12.</t>
  </si>
  <si>
    <t>13.</t>
  </si>
  <si>
    <t>14.</t>
  </si>
  <si>
    <t>15.</t>
  </si>
  <si>
    <t>16.</t>
  </si>
  <si>
    <t>Pengadaan belanja modal TA 2017 sebesar Rp 197.989.423 Berupa : Reklas Penataan lingkungan kantor DPUPR ke menara dan reklas belanja modal aset tetap lainnya ke Tugu Peringatan senilai Rp. 389.273.200</t>
  </si>
  <si>
    <t>Rincian aset tetap Gedung dan Bangunan disajikan pada Lampiran Laporan Keuangan ini.</t>
  </si>
  <si>
    <t xml:space="preserve">Jalan, Jaringan dan Irigasi  </t>
  </si>
  <si>
    <t>Mutasi transaksi terhadap Jalan, Irigasi,  dan Jaringan pada tanggal pelaporan adalah sebagai berikut:</t>
  </si>
  <si>
    <t>Rincian Aset Tetap Lainnya disajikan pada Lampiran Laporan Keuangan ini.</t>
  </si>
  <si>
    <t>f.</t>
  </si>
  <si>
    <t>Rincian lebih lanjut terkait Konstruksi Dalam Pengerjaan disajikan dalam lampiran.</t>
  </si>
  <si>
    <t>g.</t>
  </si>
  <si>
    <t>Akumulasi Penyusutan Aset Tetap merupakan alokasi sistematis atas nilai suatu aset tetap yang disusutkan selama masa manfaat aset yang bersangkutan selain untuk Tanah dan Konstruksi dalam Pengerjaan (KDP).</t>
  </si>
  <si>
    <t>Nilai Perolehan</t>
  </si>
  <si>
    <t>Akumulasi Penyusutan</t>
  </si>
  <si>
    <t>Nilai Buku</t>
  </si>
  <si>
    <t>Jalan, Irigasi Bangunan</t>
  </si>
  <si>
    <t>Rincian akumulasi penyusutan aset tetap disajikan pada Lampiran A1 Laporan Keuangan ini.</t>
  </si>
  <si>
    <t>D.</t>
  </si>
  <si>
    <t>DANA CADANGAN</t>
  </si>
  <si>
    <t>E</t>
  </si>
  <si>
    <t>ASET LAINNYA</t>
  </si>
  <si>
    <t>Aset Lainnya</t>
  </si>
  <si>
    <t>Penjelasan terinci Aset Lainnya sebagai berikut :</t>
  </si>
  <si>
    <t xml:space="preserve">   a. Tagihan Jangka Panjang             : Nihil</t>
  </si>
  <si>
    <t xml:space="preserve">   b. Kemitraan Dengan Pihak ketiga  : Nihil</t>
  </si>
  <si>
    <t xml:space="preserve">   c. Aset Tidak Berwujud    </t>
  </si>
  <si>
    <t xml:space="preserve">Aset Tak Berwujud merupakan aset yang dapat diidentifikasi dan dimiliki, tetapi tidak mempunyai wujud fisik, sebagaimana tabel berikut : </t>
  </si>
  <si>
    <t>Aset Tidak Berwujud</t>
  </si>
  <si>
    <t>Penjelasan mutasi yang terdiri dari :</t>
  </si>
  <si>
    <t>1. Goowill</t>
  </si>
  <si>
    <t>Nihil</t>
  </si>
  <si>
    <t>2. Lisensi dan Franchise</t>
  </si>
  <si>
    <t>3. Hak Cipta</t>
  </si>
  <si>
    <t>4. Patent</t>
  </si>
  <si>
    <t xml:space="preserve">5. Aset Tak Berwujud Lainnya     </t>
  </si>
  <si>
    <t>Saldo Aset Tak Berwujud Lainnya per 31 Desember 2017 dan 2016 dapat dilihat pada tabel berikut :</t>
  </si>
  <si>
    <t>Aset Tidak Berwujud Lainnya</t>
  </si>
  <si>
    <t>Aset tidak berwujud lainnya tidak ada</t>
  </si>
  <si>
    <t>6. Akumulasi dan Amortisasi Aset Tidak berwujud.</t>
  </si>
  <si>
    <t>Akumulasi dan Amortisasi ATB</t>
  </si>
  <si>
    <t>a. Penambahan Akumulasi &amp; Amortisasi</t>
  </si>
  <si>
    <t>b. Pengurangan Akumulasi dan Amortisasi</t>
  </si>
  <si>
    <t xml:space="preserve">  d. Aset Lain-Lain </t>
  </si>
  <si>
    <t>Aset Lain-lain merupakan Barang Milik Daerah (BMD) yang berada dalam kondisi rusak berat dan tidak lagi digunakan dalam operasional entitas. Adapun mutasi aset lain-lain adalah sebagai berikut:</t>
  </si>
  <si>
    <t>Aset Lain-Lain</t>
  </si>
  <si>
    <t>Rincian Aset Lain-lain berdasarkan nilai perolehan, akumulasi penyusutan dan nilai buku tersaji pada Lampiran Laporan Keungan ini.</t>
  </si>
  <si>
    <t>3.2.2</t>
  </si>
  <si>
    <t xml:space="preserve"> Kewajiban</t>
  </si>
  <si>
    <t xml:space="preserve">  A.  Kewajiban Jangka Pendek</t>
  </si>
  <si>
    <t>Utang Perhitungan Pihak Ketiga (PFK)</t>
  </si>
  <si>
    <t>Utang Bunga</t>
  </si>
  <si>
    <t>Bagian Lancar Utang Jangka Panjang</t>
  </si>
  <si>
    <t>Pendapatan Diterima Dimuka</t>
  </si>
  <si>
    <t>Utang Belanja</t>
  </si>
  <si>
    <t>Utang Jangka Pendek Lainnya</t>
  </si>
  <si>
    <t>Total</t>
  </si>
  <si>
    <t>1. Utang Pada Pihak Ketiga</t>
  </si>
  <si>
    <t>Saldo Utang PPN dan Pph tidak ada saldo baik di bendahara penerimaan dan pengeluaran .</t>
  </si>
  <si>
    <t>2. Utang Bunga</t>
  </si>
  <si>
    <r>
      <t>Bunga</t>
    </r>
    <r>
      <rPr>
        <sz val="11"/>
        <color indexed="63"/>
        <rFont val="Bookman Old Style"/>
        <family val="1"/>
      </rPr>
      <t> adalah imbal jasa atas pinjaman uang. Imbal jasa </t>
    </r>
    <r>
      <rPr>
        <i/>
        <sz val="11"/>
        <color indexed="63"/>
        <rFont val="Bookman Old Style"/>
        <family val="1"/>
      </rPr>
      <t>cipal</t>
    </r>
    <r>
      <rPr>
        <sz val="11"/>
        <color indexed="63"/>
        <rFont val="Bookman Old Style"/>
        <family val="1"/>
      </rPr>
      <t>. Persentase dari pokok utang yang dibayarkan sebagai imbal jasa ( bunga ) dalam suatu periode tertentu disebut "</t>
    </r>
    <r>
      <rPr>
        <b/>
        <sz val="11"/>
        <color indexed="63"/>
        <rFont val="Bookman Old Style"/>
        <family val="1"/>
      </rPr>
      <t>suku bunga</t>
    </r>
    <r>
      <rPr>
        <sz val="11"/>
        <color indexed="63"/>
        <rFont val="Bookman Old Style"/>
        <family val="1"/>
      </rPr>
      <t>"</t>
    </r>
  </si>
  <si>
    <t>3. Bagian Lancar Utang Jangka Panjang</t>
  </si>
  <si>
    <t>4. Pendapatan Diterima di Muka</t>
  </si>
  <si>
    <t>Pendapatan Diterima di Muka merupakan pendapatan yang sudah diterima pembayarannya, namun barang/jasa belum diserahkan,  dengan rincian sebagai berikut :</t>
  </si>
  <si>
    <t>5. Utang Belanja</t>
  </si>
  <si>
    <t>6. Utang Jangka Pendek lainnya</t>
  </si>
  <si>
    <t xml:space="preserve">  B.  Kewajiban Jangka Panjang : Nihil</t>
  </si>
  <si>
    <t>3.2.3</t>
  </si>
  <si>
    <t>Ekuitas adalah kekayaan bersih entitas yang merupakan selisih antara aset dan kewajiban. Rincian lebih lanjut tentang ekuitas disajikan dalam Laporan Perubahan Ekuitas.</t>
  </si>
  <si>
    <t>3.3.</t>
  </si>
  <si>
    <t>LAPORAN OPERASIONAL</t>
  </si>
  <si>
    <t>3.3.1</t>
  </si>
  <si>
    <t>Pendapatan-LO</t>
  </si>
  <si>
    <t>1. Pendapatan Asli Daerah (PAD)</t>
  </si>
  <si>
    <t>2. Pendapatan Transfer</t>
  </si>
  <si>
    <t>3. Lain-lain Pendapatan  yg Sah</t>
  </si>
  <si>
    <t>Pendapatan Asli Daerah (PAD)</t>
  </si>
  <si>
    <t>1. Pajak Daerah</t>
  </si>
  <si>
    <t>2. Retribusi Daerah</t>
  </si>
  <si>
    <t>3. Hasil Pengelolaan Kekayaan Daerah Yg dipisahkan</t>
  </si>
  <si>
    <t>3. Lain-lain PAD yg Sah</t>
  </si>
  <si>
    <t>PENDAPATAN ASLI DAERAH</t>
  </si>
  <si>
    <t>Pendapatan Pajak Daerah</t>
  </si>
  <si>
    <t>Pajak HIburan</t>
  </si>
  <si>
    <t>Pajak Pengambilan Bahan Galian Golongan C</t>
  </si>
  <si>
    <t>Pajak Air Bawah Tanah</t>
  </si>
  <si>
    <t>Pajak Bumi dan Bangunan (PBB)</t>
  </si>
  <si>
    <t>Pajak Bea Perolehan Hak atas Tanah dan Bangunan (BPHTB)</t>
  </si>
  <si>
    <t>Pendapatan Retribusi Daerah</t>
  </si>
  <si>
    <t>Retribusi Jasa Umum</t>
  </si>
  <si>
    <t>Retribusi Pelayanan Persampahan/Kebersihan</t>
  </si>
  <si>
    <t>Retribusi Pelayanan Parkir di Tepi Jalan Umum</t>
  </si>
  <si>
    <t>Retribusi Pengujian Kendaraan Bermotor</t>
  </si>
  <si>
    <t>Retribusi Pelayanan Pendidikan</t>
  </si>
  <si>
    <t>Retribusi Tower</t>
  </si>
  <si>
    <t>Retribusi Jasa Usaha</t>
  </si>
  <si>
    <t>Retribusi Rumah Potong Hewan</t>
  </si>
  <si>
    <t>Retribusi Penjualan Produksi Usaha Daerah</t>
  </si>
  <si>
    <t>Retribusi MCK</t>
  </si>
  <si>
    <t>Retribusi Perizinan Tertentu</t>
  </si>
  <si>
    <t>Retribusi Izin Mendirikan Bangunan</t>
  </si>
  <si>
    <t>Retribusi Izin Gangguan/Keramaian</t>
  </si>
  <si>
    <t>Retribusi Trayek</t>
  </si>
  <si>
    <t>Pendapatan Hasil Pengelolaan Kekayaan Daerah yang Dipisahkan</t>
  </si>
  <si>
    <t>Bagian Laba atas Penyertaan Modal pada Perusahaan Milik Daerah/BUMD</t>
  </si>
  <si>
    <t>Perusahaan Daerah Air Minum</t>
  </si>
  <si>
    <t>PD. BPR Bank  Wonosobo</t>
  </si>
  <si>
    <t>PD BPR BKK Wonosobo</t>
  </si>
  <si>
    <t>PD Bhakti Husada</t>
  </si>
  <si>
    <t>PT Bank Jateng</t>
  </si>
  <si>
    <t>PD BKK Kertek</t>
  </si>
  <si>
    <t>Bagian Laba atas Penyertaan Modal pada Perusahaan Milik Swasta</t>
  </si>
  <si>
    <t>PT Tambi</t>
  </si>
  <si>
    <t>PT Bimolukar (Apotik Cahaya)</t>
  </si>
  <si>
    <t>Pendapatan Asli Daerah Lainnya</t>
  </si>
  <si>
    <t>Hasil Penjualan Aset Daerah yang Tidak Dipisahkan</t>
  </si>
  <si>
    <t>Pelepasan Hak Atas Tanah</t>
  </si>
  <si>
    <t>Penjualan Peralatan/Perlengkapan Kantor Tidak Terpakai</t>
  </si>
  <si>
    <t>Penjualan Kendaraan Dinas Roda Dua</t>
  </si>
  <si>
    <t>Penjualan Drum Bekas</t>
  </si>
  <si>
    <t>Penjualan Bahan-bahan Bekas Bangunan</t>
  </si>
  <si>
    <t>Inseminasi Buatan</t>
  </si>
  <si>
    <t>Jasa Giro Kas Daerah</t>
  </si>
  <si>
    <t>Jasa Giro Pemegang Kas</t>
  </si>
  <si>
    <t>Penerimaan Bunga Deposito</t>
  </si>
  <si>
    <t>Rekening Deposito Pada Bank Jateng</t>
  </si>
  <si>
    <t>Rekening Deposito Pada BRI</t>
  </si>
  <si>
    <t>Rekening Deposito Pada BNI 46</t>
  </si>
  <si>
    <t>Rekening Deposito Pada Bank Mandiri</t>
  </si>
  <si>
    <t>Tuntutan Ganti Kerugian Daerah (TGR)</t>
  </si>
  <si>
    <t>Kerugian Uang</t>
  </si>
  <si>
    <t>Kerugian Barang</t>
  </si>
  <si>
    <t>Pendapatan Denda Keterlambatan Pelaksanaan Pekerjaan</t>
  </si>
  <si>
    <t>Bidang Pekerjaan Umum</t>
  </si>
  <si>
    <t>Pendapatan Denda Retribusi</t>
  </si>
  <si>
    <t>Pendapatan Denda Retribusi Jasa Umum</t>
  </si>
  <si>
    <t>Pendapatan dari Pengembalian Belanja</t>
  </si>
  <si>
    <t>Pendapatan BLUD</t>
  </si>
  <si>
    <t>Pendapatan Jasa Layanan Umum BLUD</t>
  </si>
  <si>
    <t>Pendapatan BLUD Puskesmas</t>
  </si>
  <si>
    <t>Hasil dari pengelolaan dana bergulir</t>
  </si>
  <si>
    <t>Pendapatan Lain-lain</t>
  </si>
  <si>
    <t>Sumbangan Pihak Ketiga</t>
  </si>
  <si>
    <t>Pendapatan Lain-lain PAD yang Sah</t>
  </si>
  <si>
    <t>JUMLAH PAD</t>
  </si>
  <si>
    <t>Jasa Layanan</t>
  </si>
  <si>
    <t>Hibah</t>
  </si>
  <si>
    <t>Hasil Kerja Sama</t>
  </si>
  <si>
    <t>Pendapatan Lain-lain Yang Sah</t>
  </si>
  <si>
    <t>Transfer Pemerintah Pusat -Dana Perimbangan</t>
  </si>
  <si>
    <t>Transfer Pemerintah Pusat - Lainnya</t>
  </si>
  <si>
    <t>PENDAPATAN TRANSFER</t>
  </si>
  <si>
    <t>Trasfer pemerintah Pusat - Dana Perimbangan</t>
  </si>
  <si>
    <t>Bagi Hasil Pajak</t>
  </si>
  <si>
    <t>Bagi Hasil dari Pajak Bumi dan Bangunan</t>
  </si>
  <si>
    <t>Bagi Hasil dari Pajak Penghasilan (PPH) Pasal 25 dan Pasa;l 29 Wajib Pajak Orang Pribadi Dalam Negeri</t>
  </si>
  <si>
    <t>Bagi Hasil Cukai Hasil Tembakau</t>
  </si>
  <si>
    <t>Bagi Hasil Bukan Pajak/Sumber Daya Alam</t>
  </si>
  <si>
    <t>Bagi Hasil Dari Provisi Sumber Daya Hutan</t>
  </si>
  <si>
    <t>Bagi Hasil Dari Pungutan Hasil Perikanan</t>
  </si>
  <si>
    <t>Bagi Hasil Dari Pertambangan Minyak Bumi</t>
  </si>
  <si>
    <t>Bagi Hasil Dari Pertambangan Gas Bumi</t>
  </si>
  <si>
    <t>Bagi Hasil Dari Pertambangan Panas Bumi</t>
  </si>
  <si>
    <t>Bagi Hasil SDA Pertambangan</t>
  </si>
  <si>
    <t>Dana Alokasi Umum</t>
  </si>
  <si>
    <t>Dana Alokasi Khusus</t>
  </si>
  <si>
    <t>Dana Alokasi Khusus (DAK) Fisik</t>
  </si>
  <si>
    <t>DAK Bidang Pendidikan</t>
  </si>
  <si>
    <t>DAK Bidang Kesehatan dan KB</t>
  </si>
  <si>
    <t>DAK Bidang Perumahan, Air Minum dan Sanitasi</t>
  </si>
  <si>
    <t>DAK Bidang Kedaulatan Pangan</t>
  </si>
  <si>
    <t>DAK Bidang Kelautan dan Perikanan</t>
  </si>
  <si>
    <t>DAK Bidang Prasarana Pemerintahan Daerah</t>
  </si>
  <si>
    <t>DAK Bidang Lingkungan Hidup dan Kehutanan</t>
  </si>
  <si>
    <t>DAK Bidang Transportasi</t>
  </si>
  <si>
    <t>DAK Bidang Sarana Prasarana Perdagangan</t>
  </si>
  <si>
    <t>DAK IPD</t>
  </si>
  <si>
    <t>Dana Alokasi Khusus (DAK) Non Fisik</t>
  </si>
  <si>
    <t>DAK Bantuan Operasional Penyelenggaraan PAUD</t>
  </si>
  <si>
    <t>DAK Tunjangan Profesi Guru</t>
  </si>
  <si>
    <t>DAK Tambahan Penghasilan Guru</t>
  </si>
  <si>
    <t>DAK Bantuan Operasional Kesehatan</t>
  </si>
  <si>
    <t>DAK Akreditasi Puskesmas</t>
  </si>
  <si>
    <t>DAK Jaminan Persalinan</t>
  </si>
  <si>
    <t>DAK Bantuan Operasional KB</t>
  </si>
  <si>
    <t>TRANSFER PEMERINTAH PUSAT LAINNYA</t>
  </si>
  <si>
    <t>Dana Otonomi Khusus</t>
  </si>
  <si>
    <t>Dana Penyesuaian</t>
  </si>
  <si>
    <t>TRANSFER PEMERINTAH PROVINSI</t>
  </si>
  <si>
    <t>PENDAPATAN BAGI HASIL PAJAK</t>
  </si>
  <si>
    <t>Dana Bagi Hasil Pajak Dari Provinsi</t>
  </si>
  <si>
    <t>Bagi Hasil Dari Pajak Kendaraan Bermotor</t>
  </si>
  <si>
    <t>Bagi Hasil Dari Bea Balik Nama Kendaraan Bermotor</t>
  </si>
  <si>
    <t>Bagi Hasil Dari Pajak Bahan Bakar Kendaraan Bermotor</t>
  </si>
  <si>
    <t>Bagi Hasil Dari Pajak Pengambilan dan Pemanfaatan Air Permukaan</t>
  </si>
  <si>
    <t>Bagi Hasil Pajak Rokok</t>
  </si>
  <si>
    <t>PENDAPATAN BAGI HASIL LAINNYA</t>
  </si>
  <si>
    <t>JUMLAH PENDAPATAN TRANSFER</t>
  </si>
  <si>
    <t>Pendapatan Hibah</t>
  </si>
  <si>
    <t>Pendapatan Dana Darurat</t>
  </si>
  <si>
    <t>Pendapatan Lainnya</t>
  </si>
  <si>
    <t>LAIN-LAIN PENDAPATAN YG SAH</t>
  </si>
  <si>
    <t>Pendapatan Hibah Dari Pemerintah</t>
  </si>
  <si>
    <t>Bantuan Keuangan Dari Provinsi</t>
  </si>
  <si>
    <t>FEDEP</t>
  </si>
  <si>
    <t>TMMD</t>
  </si>
  <si>
    <t>Profil Daerah</t>
  </si>
  <si>
    <t>Bantuan Sarana Prasarana</t>
  </si>
  <si>
    <t>Bantuan Pendidikan</t>
  </si>
  <si>
    <t>PUS</t>
  </si>
  <si>
    <t>TKPKD</t>
  </si>
  <si>
    <t>GAKY</t>
  </si>
  <si>
    <t>Bantuan Operasional Rintisan Desa Berdikari</t>
  </si>
  <si>
    <t>Bantuan Operasional Pendampingan KPMD</t>
  </si>
  <si>
    <t>Dana Desa Yang Bersumber dari APBN</t>
  </si>
  <si>
    <t>Dana Desa Yang Bersumber Dari APBN</t>
  </si>
  <si>
    <t>JUMLAH LAIN-LAIN PENDAPATAN YANG SAH</t>
  </si>
  <si>
    <t>3.3.2. Beban.</t>
  </si>
  <si>
    <t>Beban Pegawai</t>
  </si>
  <si>
    <t>Beban Persediaan</t>
  </si>
  <si>
    <t>Beban Jasa</t>
  </si>
  <si>
    <t>Beban Pemeliharaan</t>
  </si>
  <si>
    <t>Beban Perjalanan Dinas</t>
  </si>
  <si>
    <t>Beban Bunga</t>
  </si>
  <si>
    <t>Beban Subsidi</t>
  </si>
  <si>
    <t>Beban Hibah</t>
  </si>
  <si>
    <t>Beban Bantuan Sosial</t>
  </si>
  <si>
    <t>Beban Penyusutan dan Amortisasi</t>
  </si>
  <si>
    <t>Beban Transfer</t>
  </si>
  <si>
    <t>Beban Lain-lain</t>
  </si>
  <si>
    <t xml:space="preserve">a. </t>
  </si>
  <si>
    <t xml:space="preserve">Beban Pegawai adalah beban atas kompensasi, baik dalam bentuk uang maupun barang yang ditetapkan berdasarkan peraturan perundang-undangan yang diberikan kepada pejabat negara, Pegawai Negeri Sipil (PNS), dan pegawai yang dipekerjakan oleh pemerintahyang belum berstatus PNS sebagai imbalan atas pekerjaan yang telah dilaksanakan kecuali pekerjaan yang berkaitan dengan pembentukan modal. </t>
  </si>
  <si>
    <t>Uraian  Beban Pegawai</t>
  </si>
  <si>
    <t>Beban Gaji dan Tunjangan</t>
  </si>
  <si>
    <t>Gaji Pokok PNS/Uang Representasi</t>
  </si>
  <si>
    <t>Tunjangan Keluarga</t>
  </si>
  <si>
    <t>Tunjangan Jabatan</t>
  </si>
  <si>
    <t>Tunjangan Fungsional</t>
  </si>
  <si>
    <t>Tunjangan Fungsional Umum</t>
  </si>
  <si>
    <t>Tunjangan Beras</t>
  </si>
  <si>
    <t>Tunjangan PPh/Tunjangan Khusus</t>
  </si>
  <si>
    <t>Pembulatan Gaji</t>
  </si>
  <si>
    <t>Iuran Asuransi Kesehatan</t>
  </si>
  <si>
    <t>Uang Paket</t>
  </si>
  <si>
    <t>Tunjangan Panitia Musyawarah</t>
  </si>
  <si>
    <t>Tunjangan Komisi</t>
  </si>
  <si>
    <t>Tunjangan Panitia Anggaran</t>
  </si>
  <si>
    <t>Tunjangan Badan Kehormatan</t>
  </si>
  <si>
    <t>Tunjangan Alat Kelengkapan Lainnya</t>
  </si>
  <si>
    <t>Tunjangan Perumahan</t>
  </si>
  <si>
    <t>Uang Duka Wafat/Tewas</t>
  </si>
  <si>
    <t>Uang Jasa Pengabdian</t>
  </si>
  <si>
    <t>Belanja Penunjang Operasional Pimpinan DPRD</t>
  </si>
  <si>
    <t>Tunjangan Profesi guru</t>
  </si>
  <si>
    <t>Iuran Asuransi Kecelakaan Kerja dan Kematian</t>
  </si>
  <si>
    <t>Beban Tambahan Penghasilan PNS</t>
  </si>
  <si>
    <t>Tambahan Penghasilan Berdasarkan Beban Kerja</t>
  </si>
  <si>
    <t>Beban Penerimaan lainnya Pimpinan dan anggota DPRD serta KDH/WKDH</t>
  </si>
  <si>
    <t>Belanja Penunjang Komunikasi Insentif Pimpinan Dan Anggota DPRD</t>
  </si>
  <si>
    <t>Belanja Penunjang Operasional KDH/WKDH</t>
  </si>
  <si>
    <t>Insentif Pemungutan Pajak Daerah</t>
  </si>
  <si>
    <t>Biaya Pemungutan Pajak Daerah</t>
  </si>
  <si>
    <t>Insentif Pemungutan Retribusi Daerah</t>
  </si>
  <si>
    <t>Honorarium PNS</t>
  </si>
  <si>
    <t>Honorarium Panitia Pelaksana Kegiatan</t>
  </si>
  <si>
    <t>Honorarium Tim/ Pejabat Pengadaan Barang Dan Jasa</t>
  </si>
  <si>
    <t>Honorarium Pengelola Uang dan Penatausahaan Keuangan</t>
  </si>
  <si>
    <t>Honorarium Pengelola Inventaris Barang</t>
  </si>
  <si>
    <t>Honorarium koordinator/ Operator</t>
  </si>
  <si>
    <t>Honorarium Tim Angka Kredit</t>
  </si>
  <si>
    <t>Honorarium PLT</t>
  </si>
  <si>
    <t>Honorarium Petugas Piket</t>
  </si>
  <si>
    <t>Honorarium Sidang Tim</t>
  </si>
  <si>
    <t>Honorarium Panitia Pemeriksa Hasil Pekerjaan</t>
  </si>
  <si>
    <t>Honorarium Kepanitiaan</t>
  </si>
  <si>
    <t>Honorarium Tenaga Ahli/Instruktur/Narasumber</t>
  </si>
  <si>
    <t>Honorarium Non PNS</t>
  </si>
  <si>
    <t>Honorarium Pegawai Honorer/Tidak Tetap</t>
  </si>
  <si>
    <t>Honorarium pengurus organisasi/kelembagaan</t>
  </si>
  <si>
    <t>Honorarium petugas piket</t>
  </si>
  <si>
    <t>Intensif Penjaga Bendung, Petugas PMK dan Petugas Lainya</t>
  </si>
  <si>
    <t>Honorarium Petugas Laboratorium</t>
  </si>
  <si>
    <t>Uang Lembur</t>
  </si>
  <si>
    <t>Uang Lembur PNS</t>
  </si>
  <si>
    <t>Uang Lembur Non PNS</t>
  </si>
  <si>
    <t>Uang untuk diberikan kepada Pihak Ketiga/Masyarakat</t>
  </si>
  <si>
    <t>Uang untuk diberikan kepada Pihak Ketiga</t>
  </si>
  <si>
    <t>Uang untuk diberikan kepada Masyarakat</t>
  </si>
  <si>
    <t>Beban Pegawai BLUD</t>
  </si>
  <si>
    <t>Beban Pegawai BLUD Rumah Sakit</t>
  </si>
  <si>
    <t>Beban Pegawai BLUD Puskesmas</t>
  </si>
  <si>
    <t>Beban Operasional Sekolah Negeri</t>
  </si>
  <si>
    <t>Beban Stimulan</t>
  </si>
  <si>
    <t>Beban Operasional TK / PAUD</t>
  </si>
  <si>
    <t>Beban Operasional SMP Negeri</t>
  </si>
  <si>
    <t>Beban Operasional SMA/SMK Negeri</t>
  </si>
  <si>
    <t>Jumlah Beban Pegawai</t>
  </si>
  <si>
    <t>Uraian  Beban Persediaan</t>
  </si>
  <si>
    <t>Beban Bahan Pakai Habis</t>
  </si>
  <si>
    <t>Beban Alat Tulis Kantor</t>
  </si>
  <si>
    <t>Beban Alat Listrik Dan Elektronik (Lampu Pijar, Battery Kering)</t>
  </si>
  <si>
    <t>Beban Perangko, Materai Dan Benda Pos Lainnya</t>
  </si>
  <si>
    <t>Beban Peralatan Kebersihan Dan Bahan Pembersih</t>
  </si>
  <si>
    <t>Beban Bahan Bakar Minyak/Gas</t>
  </si>
  <si>
    <t>Beban Pengisian Tabung Pemadam Kebakaran</t>
  </si>
  <si>
    <t>Beban Pengisian Tabung Gas</t>
  </si>
  <si>
    <t>Beban Bahan dan Alat olah Raga</t>
  </si>
  <si>
    <t>Beban Bahan dan Alat Keperluan Kantor</t>
  </si>
  <si>
    <t>Beban Dekorasi Dokumentasi dan Publikasi (Iklan, Spanduk dan Lain-lain)</t>
  </si>
  <si>
    <t>Beban Cetak / Penggandaan</t>
  </si>
  <si>
    <t>Beban Cetak</t>
  </si>
  <si>
    <t>Beban Penggandaan</t>
  </si>
  <si>
    <t>Beban Penjilidan</t>
  </si>
  <si>
    <t>Beban Bahan/Material</t>
  </si>
  <si>
    <t>Beban Bahan Baku Bangunan</t>
  </si>
  <si>
    <t>Beban Bahan/Bibit Tanaman</t>
  </si>
  <si>
    <t>Beban Bibit Ternak</t>
  </si>
  <si>
    <t>Beban Bahan Obat-Obatan</t>
  </si>
  <si>
    <t>Beban Bahan Kimia</t>
  </si>
  <si>
    <t>Beban Bahan dan Alat Perlengkapan Kegiatan</t>
  </si>
  <si>
    <t>Beban Bahan Praktek</t>
  </si>
  <si>
    <t>Beban Bahan Pengumuman dan Sejenisnya</t>
  </si>
  <si>
    <t>Beban Bahan Percontohan/ Alat Peraga/ Sampel</t>
  </si>
  <si>
    <t>Beban Bahan Sarana Belajar Mengajar</t>
  </si>
  <si>
    <t>Beban Bahan Jaringan dan Instalasi</t>
  </si>
  <si>
    <t>Beban Bahan dan Alat Rumah Tangga</t>
  </si>
  <si>
    <t>Beban Bahan dan Alat Pertanian</t>
  </si>
  <si>
    <t>Beban Pakan Ternak</t>
  </si>
  <si>
    <t>Beban  Bahan Kenang-kenangan/Hadiah (Prasasti/Piagam/Piala/Plakat dll)</t>
  </si>
  <si>
    <t>Beban Bahan dan Alat Kesehatan</t>
  </si>
  <si>
    <t xml:space="preserve">Jumlah Beban Persediaan  </t>
  </si>
  <si>
    <t xml:space="preserve">Beban Barang danJasa terdiri dari beban barang dan jasa berupa konsumsi atas barang dan/atau jasa dalam rangka penyelenggaraan kegiatan entitas serta beban lain-lain berupa beban yang timbul karena penggunaan alokasi belanja modal yang tidak menghasilkan aset tetap.   </t>
  </si>
  <si>
    <t>Uraian  Beban Jasa</t>
  </si>
  <si>
    <t>Beban Jasa Kantor</t>
  </si>
  <si>
    <t>Beban Telepon</t>
  </si>
  <si>
    <t>Beban Air</t>
  </si>
  <si>
    <t>Beban Listrik</t>
  </si>
  <si>
    <t>Beban Surat Kabar/Majalah</t>
  </si>
  <si>
    <t>Beban Kawat/Faksimili/Internet/Intranet/TV Kabel/TV Satelit</t>
  </si>
  <si>
    <t>Beban Paket/Pengiriman</t>
  </si>
  <si>
    <t>Beban Sertifikasi</t>
  </si>
  <si>
    <t>Beban Jasa Tenaga ahli/ Instruktur/Narasumber</t>
  </si>
  <si>
    <t>Beban Pajak Penerangan jalam Umum (PPJU)</t>
  </si>
  <si>
    <t>Beban Air Time Radio Swasta</t>
  </si>
  <si>
    <t>Beban Jasa Perawatan dan Pengobatan</t>
  </si>
  <si>
    <t>Beban jasa General Chek Up</t>
  </si>
  <si>
    <t>Beban Uang saku kegiatan/rapat</t>
  </si>
  <si>
    <t>Beban Retribusi Kebersihan kota</t>
  </si>
  <si>
    <t>Beban Jasa PHL/Penjaga malam/Petugas Kebersihan/Ketertiban</t>
  </si>
  <si>
    <t>Beban Pajak Bumi dan Bangunan</t>
  </si>
  <si>
    <t>Beban Upah Tenaga/Tukang/Pekerja/Operator/Petugas Pelaksana</t>
  </si>
  <si>
    <t>Beban Jasa service dan Penggantian komponen</t>
  </si>
  <si>
    <t>Beban Propaganda, Penerangan dan publikasi</t>
  </si>
  <si>
    <t>Beban Perawatan alat Kesehatan dan Laboratorium</t>
  </si>
  <si>
    <t>Beban Jasa Pelayanan umum</t>
  </si>
  <si>
    <t>Beban Jasa Pelayanan Medis</t>
  </si>
  <si>
    <t>Beban Jasa Biro Perjalanan</t>
  </si>
  <si>
    <t>Beban Jasa/Pengadaan/Pemeliharaan/Penyesuaian Sistem Aplikasi</t>
  </si>
  <si>
    <t>Beban Iuran kepesertaan</t>
  </si>
  <si>
    <t>Beban Penetapan NIP CPNS</t>
  </si>
  <si>
    <t>Beban stimulan pembangunan</t>
  </si>
  <si>
    <t>Beban Jasa Pihak Ketiga</t>
  </si>
  <si>
    <t>Beban Jasa Laboratorium Kesehatan Hewan</t>
  </si>
  <si>
    <t>Beban Jasa administrasi Perijinan Penyiaran</t>
  </si>
  <si>
    <t>Beban Jasa administrasi Perijinan</t>
  </si>
  <si>
    <t>Beban Jasa Tenaga Wiyata Bhakti Tenaga Pendidik/Kependidikan</t>
  </si>
  <si>
    <t>Beban Jasa Tenaga Kelembagaan Pemberdayaan Masyarakat</t>
  </si>
  <si>
    <t>Beban Jasa Tenaga Kelembagaan Pemberdayaan Perempuan</t>
  </si>
  <si>
    <t>Beban jasa hiburan/kesenian</t>
  </si>
  <si>
    <t>Beban jasa pengelolaan LPPL</t>
  </si>
  <si>
    <t>Beban Jasa Tenaga Kesejahteraan Sosial Kecamatan</t>
  </si>
  <si>
    <t>Beban administrasi bank/transfer</t>
  </si>
  <si>
    <t>Beban Premi Asuransi</t>
  </si>
  <si>
    <t>Beban Premi Asuransi Kesehatan dan geberal check up</t>
  </si>
  <si>
    <t>Beban Premi Asuransi Barang Milik Daerah</t>
  </si>
  <si>
    <t>Beban Sewa Rumah/Gedung/Gudang/Parkir</t>
  </si>
  <si>
    <t>Beban Sewa Gedung/Kantor/Tempat</t>
  </si>
  <si>
    <t>Beban Sewa Ruang Rapat/Pertemuan</t>
  </si>
  <si>
    <t>Beban sewa Penginapan dan Akomodasi</t>
  </si>
  <si>
    <t>Beban Sewa Tanah</t>
  </si>
  <si>
    <t>Beban Sewa panggung/Stan</t>
  </si>
  <si>
    <t>Beban Sewa Sarana Mobilitas</t>
  </si>
  <si>
    <t>Beban Sewa Sarana Mobilitas Darat</t>
  </si>
  <si>
    <t>Beban Sewa Sarana Mobilitas Air</t>
  </si>
  <si>
    <t>Beban Sewa Alat Berat</t>
  </si>
  <si>
    <t>Beban Sewa Eskavator</t>
  </si>
  <si>
    <t>Sewa alat-alat berat</t>
  </si>
  <si>
    <t>Beban Sewa Perlengkapan dan Peralatan Kantor</t>
  </si>
  <si>
    <t>Beban Sewa Meja Kursi</t>
  </si>
  <si>
    <t>Beban Sewa Komputer dan Printer</t>
  </si>
  <si>
    <t>Beban Sewa Proyektor</t>
  </si>
  <si>
    <t>Beban Sewa Generator</t>
  </si>
  <si>
    <t>Beban Sewa Tenda</t>
  </si>
  <si>
    <t>Beban Sewa Pakaian Adat/Tradisional</t>
  </si>
  <si>
    <t>Beban sewa alat Elektronik</t>
  </si>
  <si>
    <t>Beban Sewa Alat Rumah tangga</t>
  </si>
  <si>
    <t>Beban Sewa Atat-alat Tradisional</t>
  </si>
  <si>
    <t>Beban Sewa alat-alat Sarana perlengkapan olahraga</t>
  </si>
  <si>
    <t>Beban Sewa Peralatan Praktek</t>
  </si>
  <si>
    <t>Beban Makanan dan  Minuman</t>
  </si>
  <si>
    <t>Beban Makanan Dan Minuman Harian Pegawai</t>
  </si>
  <si>
    <t>Beban Makanan Dan Minuman Rapat</t>
  </si>
  <si>
    <t>Beban Makanan Dan Minuman Tamu</t>
  </si>
  <si>
    <t>Beban Extra Fooding</t>
  </si>
  <si>
    <t>Beban Makan dan Minum Jamuan Peserta/Panitia</t>
  </si>
  <si>
    <t>Beban makanan dan Minuman Lembur</t>
  </si>
  <si>
    <t>Beban Pakaian Dinas dan Atributnya</t>
  </si>
  <si>
    <t>Beban Pakaian Sipil Harian (PSH)</t>
  </si>
  <si>
    <t>Beban Pakaian Sipil Lengkap (PSL)</t>
  </si>
  <si>
    <t>Beban Pakaian Dinas Harian (PDH)</t>
  </si>
  <si>
    <t>Beban Pakaian Dinas Upacara (PDU)</t>
  </si>
  <si>
    <t>Beban Pakaian Sipil Resmi (PSR)</t>
  </si>
  <si>
    <t>Beban Pakaian Dinas Lapangan</t>
  </si>
  <si>
    <t>Beban Pakaian Kerja</t>
  </si>
  <si>
    <t>Beban Pakaian Kerja Lapangan</t>
  </si>
  <si>
    <t>Beban Pakaian khusus dan hari-hari tertentu</t>
  </si>
  <si>
    <t>Beban Pakaian Adat Daerah</t>
  </si>
  <si>
    <t>Beban Pakaian Batik Tradisional</t>
  </si>
  <si>
    <t>Beban Pakaian Olahraga</t>
  </si>
  <si>
    <t>Beban Pakaian Paskibra</t>
  </si>
  <si>
    <t>Beban Pakaian Seragam Organisasi</t>
  </si>
  <si>
    <t>Beban Kelengkapan Pakaian (Rompi dll)</t>
  </si>
  <si>
    <t>Beban Pakaian Seragam Tim</t>
  </si>
  <si>
    <t>Beban Beasiswa Pendidikan PNS</t>
  </si>
  <si>
    <t>Beban Beasiswa Tugas Belajar S2</t>
  </si>
  <si>
    <t>Beban kursus, pelatihan, sosialisasi dan bimbingan teknis PNS</t>
  </si>
  <si>
    <t>Beban Kursus-Kursus Singkat/Pelatihan</t>
  </si>
  <si>
    <t>Beban Seminar, lokakarya</t>
  </si>
  <si>
    <t>Beban Jasa Konsultansi</t>
  </si>
  <si>
    <t>Beban Jasa Konsultansi Perencanaan</t>
  </si>
  <si>
    <t>Beban Barang Dana BOS</t>
  </si>
  <si>
    <t>Beban Barang Dana Bantuan Operasional PAUD</t>
  </si>
  <si>
    <t>Beban Barang dan Jasa BLUD</t>
  </si>
  <si>
    <t>Beban Barang dan Jasa BLUD Rumah Sakit</t>
  </si>
  <si>
    <t>Beban Barang dan Jasa BLUD Puskesmas</t>
  </si>
  <si>
    <t xml:space="preserve">Jumlah Beban Jasa </t>
  </si>
  <si>
    <t>Belanja Perawatan Kendaraan Bermotor</t>
  </si>
  <si>
    <t xml:space="preserve">Belanja Pemeliharaan </t>
  </si>
  <si>
    <t>Jumlah Beban Pemeliharaan</t>
  </si>
  <si>
    <t>Belanja Perjalanan Dinas</t>
  </si>
  <si>
    <t>Belanja Perjalanan Pindah Tugas</t>
  </si>
  <si>
    <t>Jumlah Beban Perjalanan Dinas</t>
  </si>
  <si>
    <t>h.</t>
  </si>
  <si>
    <t xml:space="preserve">Beban Hibah </t>
  </si>
  <si>
    <t xml:space="preserve">Beban Hibah/Barang untuk Diserahkan kepada Masyarakat merupakan beban pemerintah dalam bentuk barang atau jasa kepada masyarakat yang bertujuan untuk mencapai tujuan entitas. </t>
  </si>
  <si>
    <t>Belanja Hibah Kepada Pemerintahan Desa</t>
  </si>
  <si>
    <t>Belanja Hibah kepada Badan/Lembaga/Organisasi</t>
  </si>
  <si>
    <t>Belanja Hibah kepada Kelompok/Anggota Masyarakat</t>
  </si>
  <si>
    <t>Belanja Hibah Dana BOP</t>
  </si>
  <si>
    <t>Belanja Hibah Barang atau Jasa kepada Masyarakat/Pihak Ketiga</t>
  </si>
  <si>
    <t>Jumlah Beban Hibah</t>
  </si>
  <si>
    <t>i.</t>
  </si>
  <si>
    <t xml:space="preserve">Beban Bantuan Sosial </t>
  </si>
  <si>
    <t>Belanja Bantuan Sosial kepada Organisasi Sosial Kemasyarakatan</t>
  </si>
  <si>
    <t>Belanja Bantuan Sosial Barang kepada Pihak Ketiga / Masyarakat</t>
  </si>
  <si>
    <t>Jumlah Beban Bantuan Sosial</t>
  </si>
  <si>
    <t>j.</t>
  </si>
  <si>
    <t xml:space="preserve">Beban Penyusutan dan Amortisasi </t>
  </si>
  <si>
    <t xml:space="preserve">Beban Penyusutan merupakan beban untuk mencatat alokasi sistematis atas nilai suatu aset tetap yang dapat disusutkan (depreciable assets) selama masa manfaat aset yang bersangkutan. </t>
  </si>
  <si>
    <t>Beban penyusutan peralatan dan mesin</t>
  </si>
  <si>
    <t>Beban penyusutan gedung dan bangunan</t>
  </si>
  <si>
    <t>Beban penyusutan jalan, irigasi dan jaringan</t>
  </si>
  <si>
    <t>Beban Amortisasi Aset Lainnya</t>
  </si>
  <si>
    <t xml:space="preserve">Jumlah Beban Penyusutan </t>
  </si>
  <si>
    <t>k.</t>
  </si>
  <si>
    <t xml:space="preserve">Beban Transfer merupakan beban berupa pengeluaran uang/kewajiban untuk mengeluarkan uang dari entitas pelaporan kepada suatu entitas pelaporan lain yang diwajibkan oleh peraturan perundang-undangan dalam suatu periode. </t>
  </si>
  <si>
    <t>Belanja Bagi Hasil Pajak Daerah Kepada Pemerintahan Desa</t>
  </si>
  <si>
    <t>Belanja Bagi Hasil Retribusi Daerah Kepada Pemerintah Desa</t>
  </si>
  <si>
    <t>Belanja Bantuan Keuangan kepada Desa</t>
  </si>
  <si>
    <t>Belanja Bantuan Kepada Partai Politik</t>
  </si>
  <si>
    <t>Jumlah Beban Transfer</t>
  </si>
  <si>
    <t>l.</t>
  </si>
  <si>
    <t>Beban Lain-lain.</t>
  </si>
  <si>
    <t>Beban Lain-Lain diantaranya untuk menampung penyisihan piutang tidak tertagih, yaitu merupakan cadangan yang harus dibentuk berdasarkan prosentase tertentu sesuai kebijakan yang berlaku bertujuan untuk menyajikan piutang dalam neraca secara nilai bersih yang dapat direalisasikan (Net Realizable value), sebagaimana tabel berikut :</t>
  </si>
  <si>
    <t>Uraian Beban Lain-lain</t>
  </si>
  <si>
    <t>Penyisihan Piutang tidak tertagih</t>
  </si>
  <si>
    <t>Beban Lainnya</t>
  </si>
  <si>
    <t>3.4.3. Kegiatan Non Opeasional</t>
  </si>
  <si>
    <t>3.4.4. Pos Luar Biasa</t>
  </si>
  <si>
    <t xml:space="preserve"> 1.   Pendapatan Luar biasa</t>
  </si>
  <si>
    <t xml:space="preserve"> 2.   Beban Luar biasa</t>
  </si>
  <si>
    <t>3.3.4. Surplus/Defisit LO</t>
  </si>
  <si>
    <t>3.4.</t>
  </si>
  <si>
    <t>LAPORAN PERUBAHAN EKUITAS</t>
  </si>
  <si>
    <t>3.4.1.  Ekuitas Awal</t>
  </si>
  <si>
    <t>3.4.3. Dampak Kumulatif Perubahan Kebijakan/Kesalahan Mendasar</t>
  </si>
  <si>
    <t xml:space="preserve">a. Koreksi yang menambah ekuitas awal </t>
  </si>
  <si>
    <t xml:space="preserve">    1. Serah terima dari SKPD ....................</t>
  </si>
  <si>
    <t xml:space="preserve">    2. Kurang catat aset tetap</t>
  </si>
  <si>
    <t xml:space="preserve">    3. RK - PPKD</t>
  </si>
  <si>
    <t xml:space="preserve">    3. Akumulasi Penyusutan</t>
  </si>
  <si>
    <t>b. Koreksi yang mengurangi ekuitas awal</t>
  </si>
  <si>
    <t xml:space="preserve">   1. Kapitalisasi aset tetap </t>
  </si>
  <si>
    <t xml:space="preserve">   2. Penghapusan aset tetap</t>
  </si>
  <si>
    <t xml:space="preserve">   3. akumulasi penyusutan</t>
  </si>
  <si>
    <t xml:space="preserve">   4. Koreksi akumulasi penyusutan ...</t>
  </si>
  <si>
    <t xml:space="preserve">   5. Koreksi persediaan</t>
  </si>
  <si>
    <t>Jumlah Koreksi yang menambah Ekuitas awal</t>
  </si>
  <si>
    <t>BAB IV</t>
  </si>
  <si>
    <t>PENJELASAN ATAS INFORMASI NON KEUANGAN</t>
  </si>
  <si>
    <t>Selama kurun waktu 2017 pada pada Dinas Pekerjaan Umum dan Penataan Ruang terjadi 3 ( tiga ) kali pergantian Pucuk pimpinan    yaitu :</t>
  </si>
  <si>
    <t>Ir. Supriyanto,MM dari bulan Januari s/d bulan April 2017</t>
  </si>
  <si>
    <t>Drs. Amin Suradi M.Si dari bulan Mei s/d Agustus 2017 selaku PLT Dinas Pekerjaan Umum dan Penataan Ruang</t>
  </si>
  <si>
    <t>Ir.Widi Purwanto,MT dari bulan September s/d Desember 2017</t>
  </si>
  <si>
    <t>Selain itu sejak bulan September Dinas Pekerjaan Umum dan Penataan Ruang tidak memiliki Sekretaris Dinas dan belum ada pengisian sampai akhir tahun 2017 serta ada beberapa Kepala seksi yang pensiun juga belum ada pengisian.</t>
  </si>
  <si>
    <t>BAB V</t>
  </si>
  <si>
    <t>PENUTUP</t>
  </si>
  <si>
    <t>KEPALA DINAS PEKERJAAN UMUM DAN PENATAAN RUANG</t>
  </si>
  <si>
    <r>
      <t xml:space="preserve">               </t>
    </r>
    <r>
      <rPr>
        <sz val="12"/>
        <color indexed="8"/>
        <rFont val="Bookman Old Style"/>
        <family val="1"/>
      </rPr>
      <t>Wonosobo,              Januari  2017</t>
    </r>
  </si>
  <si>
    <t xml:space="preserve">         </t>
  </si>
</sst>
</file>

<file path=xl/styles.xml><?xml version="1.0" encoding="utf-8"?>
<styleSheet xmlns="http://schemas.openxmlformats.org/spreadsheetml/2006/main">
  <numFmts count="9">
    <numFmt numFmtId="41" formatCode="_(* #,##0_);_(* \(#,##0\);_(* &quot;-&quot;_);_(@_)"/>
    <numFmt numFmtId="43" formatCode="_(* #,##0.00_);_(* \(#,##0.00\);_(* &quot;-&quot;??_);_(@_)"/>
    <numFmt numFmtId="164" formatCode="_(* #,##0.00_);_(* \(#,##0.00\);_(* &quot;-&quot;_);_(@_)"/>
    <numFmt numFmtId="165" formatCode="_(&quot;Rp&quot;* #,##0_);_(&quot;Rp&quot;* \(#,##0\);_(&quot;Rp&quot;* &quot;-&quot;_);_(@_)"/>
    <numFmt numFmtId="166" formatCode="_(* #,##0.0_);_(* \(#,##0.0\);_(* &quot;-&quot;_);_(@_)"/>
    <numFmt numFmtId="167" formatCode="_(* #,##0_);_(* \(#,##0\);_(* &quot;-&quot;??_);_(@_)"/>
    <numFmt numFmtId="168" formatCode="_-* #,##0.00_-;\-* #,##0.00_-;_-* &quot;-&quot;??_-;_-@_-"/>
    <numFmt numFmtId="169" formatCode="_(* #,##0.000_);_(* \(#,##0.000\);_(* &quot;-&quot;_);_(@_)"/>
    <numFmt numFmtId="170" formatCode="_(* #,##0.0000_);_(* \(#,##0.0000\);_(* &quot;-&quot;_);_(@_)"/>
  </numFmts>
  <fonts count="131">
    <font>
      <sz val="11"/>
      <color theme="1"/>
      <name val="Calibri"/>
      <family val="2"/>
      <scheme val="minor"/>
    </font>
    <font>
      <sz val="11"/>
      <color theme="1"/>
      <name val="Calibri"/>
      <family val="2"/>
      <scheme val="minor"/>
    </font>
    <font>
      <b/>
      <sz val="11"/>
      <color theme="0"/>
      <name val="Bookman Old Style"/>
      <family val="1"/>
    </font>
    <font>
      <b/>
      <sz val="11"/>
      <color theme="1"/>
      <name val="Bookman Old Style"/>
      <family val="1"/>
    </font>
    <font>
      <sz val="11"/>
      <color theme="1"/>
      <name val="Bookman Old Style"/>
      <family val="1"/>
    </font>
    <font>
      <sz val="8"/>
      <color theme="1"/>
      <name val="Bookman Old Style"/>
      <family val="1"/>
    </font>
    <font>
      <b/>
      <sz val="11"/>
      <name val="Bookman Old Style"/>
      <family val="1"/>
    </font>
    <font>
      <sz val="11"/>
      <name val="Bookman Old Style"/>
      <family val="1"/>
    </font>
    <font>
      <i/>
      <sz val="8"/>
      <color theme="3"/>
      <name val="Bookman Old Style"/>
      <family val="1"/>
    </font>
    <font>
      <b/>
      <sz val="11"/>
      <color theme="3" tint="-0.249977111117893"/>
      <name val="Bookman Old Style"/>
      <family val="1"/>
    </font>
    <font>
      <sz val="11"/>
      <color rgb="FF000000"/>
      <name val="Bookman Old Style"/>
      <family val="1"/>
    </font>
    <font>
      <sz val="8"/>
      <color theme="3"/>
      <name val="Bookman Old Style"/>
      <family val="1"/>
    </font>
    <font>
      <b/>
      <sz val="11"/>
      <color indexed="8"/>
      <name val="Bookman Old Style"/>
      <family val="1"/>
    </font>
    <font>
      <sz val="11"/>
      <color indexed="8"/>
      <name val="Bookman Old Style"/>
      <family val="1"/>
    </font>
    <font>
      <b/>
      <sz val="11"/>
      <color rgb="FF000000"/>
      <name val="Bookman Old Style"/>
      <family val="1"/>
    </font>
    <font>
      <sz val="11"/>
      <color rgb="FFFF0000"/>
      <name val="Bookman Old Style"/>
      <family val="1"/>
    </font>
    <font>
      <sz val="10"/>
      <color theme="1"/>
      <name val="Bookman Old Style"/>
      <family val="1"/>
    </font>
    <font>
      <sz val="8"/>
      <name val="Bookman Old Style"/>
      <family val="1"/>
    </font>
    <font>
      <i/>
      <sz val="8"/>
      <name val="Bookman Old Style"/>
      <family val="1"/>
    </font>
    <font>
      <sz val="10"/>
      <color rgb="FF000000"/>
      <name val="Bookman Old Style"/>
      <family val="1"/>
    </font>
    <font>
      <i/>
      <sz val="11"/>
      <color rgb="FF000000"/>
      <name val="Bookman Old Style"/>
      <family val="1"/>
    </font>
    <font>
      <sz val="9"/>
      <color rgb="FF000000"/>
      <name val="Bookman Old Style"/>
      <family val="1"/>
    </font>
    <font>
      <sz val="11"/>
      <color theme="7"/>
      <name val="Bookman Old Style"/>
      <family val="1"/>
    </font>
    <font>
      <b/>
      <sz val="9"/>
      <color rgb="FF000000"/>
      <name val="Bookman Old Style"/>
      <family val="1"/>
    </font>
    <font>
      <sz val="9"/>
      <color theme="1"/>
      <name val="Bookman Old Style"/>
      <family val="1"/>
    </font>
    <font>
      <i/>
      <sz val="9"/>
      <color rgb="FF000000"/>
      <name val="Bookman Old Style"/>
      <family val="1"/>
    </font>
    <font>
      <sz val="8"/>
      <color rgb="FF000000"/>
      <name val="Bookman Old Style"/>
      <family val="1"/>
    </font>
    <font>
      <i/>
      <sz val="8"/>
      <color rgb="FF000000"/>
      <name val="Bookman Old Style"/>
      <family val="1"/>
    </font>
    <font>
      <b/>
      <sz val="10"/>
      <color rgb="FF000000"/>
      <name val="Bookman Old Style"/>
      <family val="1"/>
    </font>
    <font>
      <sz val="11"/>
      <color rgb="FF7030A0"/>
      <name val="Bookman Old Style"/>
      <family val="1"/>
    </font>
    <font>
      <sz val="7"/>
      <color rgb="FF000000"/>
      <name val="Bookman Old Style"/>
      <family val="1"/>
    </font>
    <font>
      <i/>
      <sz val="10"/>
      <color rgb="FF000000"/>
      <name val="Bookman Old Style"/>
      <family val="1"/>
    </font>
    <font>
      <b/>
      <sz val="7"/>
      <color rgb="FF000000"/>
      <name val="Bookman Old Style"/>
      <family val="1"/>
    </font>
    <font>
      <b/>
      <sz val="8"/>
      <color rgb="FF000000"/>
      <name val="Bookman Old Style"/>
      <family val="1"/>
    </font>
    <font>
      <b/>
      <sz val="11"/>
      <color rgb="FFFF0000"/>
      <name val="Bookman Old Style"/>
      <family val="1"/>
    </font>
    <font>
      <b/>
      <i/>
      <sz val="10"/>
      <color theme="1"/>
      <name val="Bookman Old Style"/>
      <family val="1"/>
    </font>
    <font>
      <b/>
      <i/>
      <sz val="10"/>
      <color indexed="8"/>
      <name val="Bookman Old Style"/>
      <family val="1"/>
    </font>
    <font>
      <sz val="10"/>
      <color rgb="FFFF0000"/>
      <name val="Bookman Old Style"/>
      <family val="1"/>
    </font>
    <font>
      <b/>
      <sz val="10"/>
      <name val="Bookman Old Style"/>
      <family val="1"/>
    </font>
    <font>
      <b/>
      <i/>
      <sz val="11"/>
      <color rgb="FFFF0000"/>
      <name val="Bookman Old Style"/>
      <family val="1"/>
    </font>
    <font>
      <sz val="11"/>
      <color indexed="12"/>
      <name val="Bookman Old Style"/>
      <family val="1"/>
    </font>
    <font>
      <sz val="6"/>
      <name val="Bookman Old Style"/>
      <family val="1"/>
    </font>
    <font>
      <i/>
      <sz val="7"/>
      <color rgb="FF000000"/>
      <name val="Bookman Old Style"/>
      <family val="1"/>
    </font>
    <font>
      <sz val="7"/>
      <color theme="1"/>
      <name val="Bookman Old Style"/>
      <family val="1"/>
    </font>
    <font>
      <sz val="8"/>
      <color rgb="FF000000"/>
      <name val="Arial"/>
      <family val="2"/>
    </font>
    <font>
      <sz val="9"/>
      <color rgb="FF000000"/>
      <name val="Arial"/>
      <family val="2"/>
    </font>
    <font>
      <b/>
      <sz val="6"/>
      <name val="Bookman Old Style"/>
      <family val="1"/>
    </font>
    <font>
      <i/>
      <sz val="6"/>
      <color theme="3"/>
      <name val="Bookman Old Style"/>
      <family val="1"/>
    </font>
    <font>
      <b/>
      <sz val="9"/>
      <name val="Bookman Old Style"/>
      <family val="1"/>
    </font>
    <font>
      <sz val="9"/>
      <name val="Bookman Old Style"/>
      <family val="1"/>
    </font>
    <font>
      <i/>
      <sz val="8"/>
      <color rgb="FF000000"/>
      <name val="Arial"/>
      <family val="2"/>
    </font>
    <font>
      <sz val="8"/>
      <color theme="1"/>
      <name val="Arial"/>
      <family val="2"/>
    </font>
    <font>
      <b/>
      <sz val="8"/>
      <color rgb="FF000000"/>
      <name val="Arial"/>
      <family val="2"/>
    </font>
    <font>
      <sz val="11"/>
      <color theme="9" tint="-0.249977111117893"/>
      <name val="Bookman Old Style"/>
      <family val="1"/>
    </font>
    <font>
      <sz val="10"/>
      <name val="Bookman Old Style"/>
      <family val="1"/>
    </font>
    <font>
      <sz val="11"/>
      <color theme="3" tint="-0.249977111117893"/>
      <name val="Bookman Old Style"/>
      <family val="1"/>
    </font>
    <font>
      <sz val="10"/>
      <color theme="3" tint="-0.249977111117893"/>
      <name val="Bookman Old Style"/>
      <family val="1"/>
    </font>
    <font>
      <b/>
      <sz val="9"/>
      <color theme="1"/>
      <name val="Bookman Old Style"/>
      <family val="1"/>
    </font>
    <font>
      <b/>
      <sz val="9"/>
      <color theme="3" tint="-0.249977111117893"/>
      <name val="Bookman Old Style"/>
      <family val="1"/>
    </font>
    <font>
      <sz val="10.5"/>
      <color rgb="FF000000"/>
      <name val="Bookman Old Style"/>
      <family val="1"/>
    </font>
    <font>
      <sz val="9"/>
      <color rgb="FFFF0000"/>
      <name val="Bookman Old Style"/>
      <family val="1"/>
    </font>
    <font>
      <i/>
      <sz val="10"/>
      <color rgb="FFFF0000"/>
      <name val="Bookman Old Style"/>
      <family val="1"/>
    </font>
    <font>
      <b/>
      <i/>
      <sz val="10"/>
      <color rgb="FFFF0000"/>
      <name val="Bookman Old Style"/>
      <family val="1"/>
    </font>
    <font>
      <sz val="10"/>
      <color theme="0"/>
      <name val="Bookman Old Style"/>
      <family val="1"/>
    </font>
    <font>
      <b/>
      <sz val="10"/>
      <color rgb="FFFF0000"/>
      <name val="Bookman Old Style"/>
      <family val="1"/>
    </font>
    <font>
      <b/>
      <sz val="10.5"/>
      <color rgb="FF000000"/>
      <name val="Bookman Old Style"/>
      <family val="1"/>
    </font>
    <font>
      <i/>
      <sz val="9"/>
      <color rgb="FFFF0000"/>
      <name val="Bookman Old Style"/>
      <family val="1"/>
    </font>
    <font>
      <sz val="8"/>
      <color rgb="FFFF0000"/>
      <name val="Bookman Old Style"/>
      <family val="1"/>
    </font>
    <font>
      <sz val="7"/>
      <color rgb="FFFF0000"/>
      <name val="Bookman Old Style"/>
      <family val="1"/>
    </font>
    <font>
      <b/>
      <sz val="7"/>
      <color theme="1"/>
      <name val="Bookman Old Style"/>
      <family val="1"/>
    </font>
    <font>
      <sz val="10.5"/>
      <name val="Bookman Old Style"/>
      <family val="1"/>
    </font>
    <font>
      <b/>
      <i/>
      <sz val="11"/>
      <name val="Bookman Old Style"/>
      <family val="1"/>
    </font>
    <font>
      <sz val="7"/>
      <color rgb="FFFF0000"/>
      <name val="Arial"/>
      <family val="2"/>
    </font>
    <font>
      <sz val="6"/>
      <color rgb="FFFF0000"/>
      <name val="Arial"/>
      <family val="2"/>
    </font>
    <font>
      <i/>
      <sz val="8"/>
      <color theme="0"/>
      <name val="Bookman Old Style"/>
      <family val="1"/>
    </font>
    <font>
      <i/>
      <sz val="6"/>
      <color rgb="FF000000"/>
      <name val="Bookman Old Style"/>
      <family val="1"/>
    </font>
    <font>
      <sz val="6"/>
      <color theme="1"/>
      <name val="Calibri"/>
      <family val="2"/>
      <scheme val="minor"/>
    </font>
    <font>
      <sz val="6"/>
      <color rgb="FFFF0000"/>
      <name val="Bookman Old Style"/>
      <family val="1"/>
    </font>
    <font>
      <sz val="10"/>
      <name val="Arial"/>
      <family val="2"/>
    </font>
    <font>
      <sz val="10"/>
      <name val="Tahoma"/>
      <family val="2"/>
    </font>
    <font>
      <b/>
      <sz val="8"/>
      <name val="Arial Narrow"/>
      <family val="2"/>
    </font>
    <font>
      <sz val="8"/>
      <color rgb="FFFF0000"/>
      <name val="Arial"/>
      <family val="2"/>
    </font>
    <font>
      <sz val="14"/>
      <color theme="1"/>
      <name val="Arial Narrow"/>
      <family val="2"/>
    </font>
    <font>
      <b/>
      <sz val="14"/>
      <color theme="1"/>
      <name val="Arial Narrow"/>
      <family val="2"/>
    </font>
    <font>
      <i/>
      <sz val="10"/>
      <name val="Bookman Old Style"/>
      <family val="1"/>
    </font>
    <font>
      <sz val="24"/>
      <color rgb="FFFF0000"/>
      <name val="Bookman Old Style"/>
      <family val="1"/>
    </font>
    <font>
      <sz val="6"/>
      <color rgb="FF000000"/>
      <name val="Bookman Old Style"/>
      <family val="1"/>
    </font>
    <font>
      <sz val="7"/>
      <color rgb="FF000000"/>
      <name val="Arial"/>
      <family val="2"/>
    </font>
    <font>
      <sz val="6"/>
      <color rgb="FF000000"/>
      <name val="Arial"/>
      <family val="2"/>
    </font>
    <font>
      <b/>
      <i/>
      <sz val="11"/>
      <color rgb="FF000000"/>
      <name val="Bookman Old Style"/>
      <family val="1"/>
    </font>
    <font>
      <sz val="18"/>
      <color rgb="FFFF0000"/>
      <name val="Bookman Old Style"/>
      <family val="1"/>
    </font>
    <font>
      <b/>
      <sz val="10"/>
      <color theme="3" tint="-0.249977111117893"/>
      <name val="Bookman Old Style"/>
      <family val="1"/>
    </font>
    <font>
      <b/>
      <i/>
      <sz val="8"/>
      <color theme="3"/>
      <name val="Bookman Old Style"/>
      <family val="1"/>
    </font>
    <font>
      <sz val="11"/>
      <color indexed="63"/>
      <name val="Bookman Old Style"/>
      <family val="1"/>
    </font>
    <font>
      <i/>
      <sz val="11"/>
      <color indexed="63"/>
      <name val="Bookman Old Style"/>
      <family val="1"/>
    </font>
    <font>
      <b/>
      <sz val="11"/>
      <color indexed="63"/>
      <name val="Bookman Old Style"/>
      <family val="1"/>
    </font>
    <font>
      <b/>
      <i/>
      <sz val="8"/>
      <name val="Bookman Old Style"/>
      <family val="1"/>
    </font>
    <font>
      <b/>
      <sz val="12"/>
      <color theme="1"/>
      <name val="Bookman Old Style"/>
      <family val="1"/>
    </font>
    <font>
      <sz val="18"/>
      <name val="Bookman Old Style"/>
      <family val="1"/>
    </font>
    <font>
      <i/>
      <sz val="9"/>
      <name val="Bookman Old Style"/>
      <family val="1"/>
    </font>
    <font>
      <i/>
      <sz val="11"/>
      <color theme="1"/>
      <name val="Bookman Old Style"/>
      <family val="1"/>
    </font>
    <font>
      <b/>
      <i/>
      <sz val="9"/>
      <name val="Bookman Old Style"/>
      <family val="1"/>
    </font>
    <font>
      <b/>
      <sz val="8"/>
      <name val="Bookman Old Style"/>
      <family val="1"/>
    </font>
    <font>
      <sz val="12"/>
      <color theme="1"/>
      <name val="Bookman Old Style"/>
      <family val="1"/>
    </font>
    <font>
      <i/>
      <sz val="10"/>
      <color theme="1"/>
      <name val="Bookman Old Style"/>
      <family val="1"/>
    </font>
    <font>
      <i/>
      <sz val="11"/>
      <name val="Bookman Old Style"/>
      <family val="1"/>
    </font>
    <font>
      <sz val="22"/>
      <color rgb="FFFF0000"/>
      <name val="Bookman Old Style"/>
      <family val="1"/>
    </font>
    <font>
      <b/>
      <sz val="11"/>
      <color theme="4" tint="-0.249977111117893"/>
      <name val="Bookman Old Style"/>
      <family val="1"/>
    </font>
    <font>
      <b/>
      <sz val="10"/>
      <color theme="4" tint="-0.249977111117893"/>
      <name val="Arial"/>
      <family val="2"/>
    </font>
    <font>
      <b/>
      <sz val="12"/>
      <name val="Bookman Old Style"/>
      <family val="1"/>
    </font>
    <font>
      <sz val="12"/>
      <name val="Bookman Old Style"/>
      <family val="1"/>
    </font>
    <font>
      <b/>
      <u/>
      <sz val="12"/>
      <color theme="1"/>
      <name val="Bookman Old Style"/>
      <family val="1"/>
    </font>
    <font>
      <sz val="12"/>
      <color indexed="8"/>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9">
    <xf numFmtId="0" fontId="0" fillId="0" borderId="0"/>
    <xf numFmtId="43" fontId="1" fillId="0" borderId="0" applyFont="0" applyFill="0" applyBorder="0" applyAlignment="0" applyProtection="0"/>
    <xf numFmtId="41" fontId="1" fillId="0" borderId="0" applyFont="0" applyFill="0" applyBorder="0" applyAlignment="0" applyProtection="0"/>
    <xf numFmtId="0" fontId="78" fillId="0" borderId="0"/>
    <xf numFmtId="0" fontId="78" fillId="0" borderId="0"/>
    <xf numFmtId="0" fontId="113" fillId="4" borderId="0" applyNumberFormat="0" applyBorder="0" applyAlignment="0" applyProtection="0"/>
    <xf numFmtId="0" fontId="113" fillId="5" borderId="0" applyNumberFormat="0" applyBorder="0" applyAlignment="0" applyProtection="0"/>
    <xf numFmtId="0" fontId="113" fillId="6" borderId="0" applyNumberFormat="0" applyBorder="0" applyAlignment="0" applyProtection="0"/>
    <xf numFmtId="0" fontId="113" fillId="7" borderId="0" applyNumberFormat="0" applyBorder="0" applyAlignment="0" applyProtection="0"/>
    <xf numFmtId="0" fontId="113" fillId="8" borderId="0" applyNumberFormat="0" applyBorder="0" applyAlignment="0" applyProtection="0"/>
    <xf numFmtId="0" fontId="113" fillId="9" borderId="0" applyNumberFormat="0" applyBorder="0" applyAlignment="0" applyProtection="0"/>
    <xf numFmtId="0" fontId="113" fillId="10" borderId="0" applyNumberFormat="0" applyBorder="0" applyAlignment="0" applyProtection="0"/>
    <xf numFmtId="0" fontId="113" fillId="11"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0" borderId="0" applyNumberFormat="0" applyBorder="0" applyAlignment="0" applyProtection="0"/>
    <xf numFmtId="0" fontId="113" fillId="13" borderId="0" applyNumberFormat="0" applyBorder="0" applyAlignment="0" applyProtection="0"/>
    <xf numFmtId="0" fontId="114" fillId="14" borderId="0" applyNumberFormat="0" applyBorder="0" applyAlignment="0" applyProtection="0"/>
    <xf numFmtId="0" fontId="114" fillId="11" borderId="0" applyNumberFormat="0" applyBorder="0" applyAlignment="0" applyProtection="0"/>
    <xf numFmtId="0" fontId="114" fillId="12"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21" borderId="0" applyNumberFormat="0" applyBorder="0" applyAlignment="0" applyProtection="0"/>
    <xf numFmtId="0" fontId="115" fillId="5" borderId="0" applyNumberFormat="0" applyBorder="0" applyAlignment="0" applyProtection="0"/>
    <xf numFmtId="0" fontId="116" fillId="22" borderId="17" applyNumberFormat="0" applyAlignment="0" applyProtection="0"/>
    <xf numFmtId="0" fontId="117" fillId="23" borderId="18" applyNumberFormat="0" applyAlignment="0" applyProtection="0"/>
    <xf numFmtId="41" fontId="78" fillId="0" borderId="0" applyFont="0" applyFill="0" applyBorder="0" applyAlignment="0" applyProtection="0"/>
    <xf numFmtId="41"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118" fillId="0" borderId="0" applyNumberFormat="0" applyFill="0" applyBorder="0" applyAlignment="0" applyProtection="0"/>
    <xf numFmtId="0" fontId="119" fillId="6" borderId="0" applyNumberFormat="0" applyBorder="0" applyAlignment="0" applyProtection="0"/>
    <xf numFmtId="0" fontId="120" fillId="0" borderId="19" applyNumberFormat="0" applyFill="0" applyAlignment="0" applyProtection="0"/>
    <xf numFmtId="0" fontId="121" fillId="0" borderId="20" applyNumberFormat="0" applyFill="0" applyAlignment="0" applyProtection="0"/>
    <xf numFmtId="0" fontId="122" fillId="0" borderId="21" applyNumberFormat="0" applyFill="0" applyAlignment="0" applyProtection="0"/>
    <xf numFmtId="0" fontId="122" fillId="0" borderId="0" applyNumberFormat="0" applyFill="0" applyBorder="0" applyAlignment="0" applyProtection="0"/>
    <xf numFmtId="0" fontId="123" fillId="9" borderId="17" applyNumberFormat="0" applyAlignment="0" applyProtection="0"/>
    <xf numFmtId="0" fontId="124" fillId="0" borderId="22" applyNumberFormat="0" applyFill="0" applyAlignment="0" applyProtection="0"/>
    <xf numFmtId="0" fontId="125" fillId="24" borderId="0" applyNumberFormat="0" applyBorder="0" applyAlignment="0" applyProtection="0"/>
    <xf numFmtId="0" fontId="1" fillId="0" borderId="0"/>
    <xf numFmtId="0" fontId="126" fillId="0" borderId="0"/>
    <xf numFmtId="0" fontId="1" fillId="0" borderId="0"/>
    <xf numFmtId="0" fontId="78" fillId="25" borderId="23" applyNumberFormat="0" applyFont="0" applyAlignment="0" applyProtection="0"/>
    <xf numFmtId="0" fontId="127" fillId="22" borderId="24" applyNumberFormat="0" applyAlignment="0" applyProtection="0"/>
    <xf numFmtId="0" fontId="128" fillId="0" borderId="0" applyNumberFormat="0" applyFill="0" applyBorder="0" applyAlignment="0" applyProtection="0"/>
    <xf numFmtId="0" fontId="129" fillId="0" borderId="25" applyNumberFormat="0" applyFill="0" applyAlignment="0" applyProtection="0"/>
    <xf numFmtId="0" fontId="130" fillId="0" borderId="0" applyNumberFormat="0" applyFill="0" applyBorder="0" applyAlignment="0" applyProtection="0"/>
  </cellStyleXfs>
  <cellXfs count="1162">
    <xf numFmtId="0" fontId="0" fillId="0" borderId="0" xfId="0"/>
    <xf numFmtId="0" fontId="2" fillId="2" borderId="0" xfId="0" applyFont="1" applyFill="1" applyAlignment="1">
      <alignment horizontal="right" vertical="center"/>
    </xf>
    <xf numFmtId="0" fontId="3" fillId="0" borderId="0" xfId="0" applyFont="1" applyFill="1" applyAlignment="1"/>
    <xf numFmtId="0" fontId="4" fillId="0" borderId="0" xfId="0" applyFont="1" applyFill="1"/>
    <xf numFmtId="0" fontId="5" fillId="0" borderId="0" xfId="0" applyFont="1" applyFill="1"/>
    <xf numFmtId="0" fontId="6" fillId="0" borderId="0" xfId="0" applyFont="1" applyFill="1" applyAlignment="1">
      <alignment horizontal="center" vertical="top"/>
    </xf>
    <xf numFmtId="0" fontId="7" fillId="0" borderId="0" xfId="0" applyFont="1" applyFill="1"/>
    <xf numFmtId="0" fontId="8"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9" fillId="0" borderId="0" xfId="0" quotePrefix="1" applyFont="1" applyFill="1" applyAlignment="1">
      <alignment vertical="top"/>
    </xf>
    <xf numFmtId="0" fontId="9" fillId="0" borderId="0" xfId="0" applyFont="1" applyFill="1" applyAlignment="1">
      <alignment vertical="top"/>
    </xf>
    <xf numFmtId="0" fontId="3" fillId="0" borderId="0" xfId="0" applyFont="1" applyFill="1" applyAlignment="1">
      <alignment horizontal="justify" vertical="top" wrapText="1"/>
    </xf>
    <xf numFmtId="0" fontId="8" fillId="0" borderId="0" xfId="0" applyFont="1" applyFill="1" applyAlignment="1">
      <alignment horizontal="center" vertical="top" wrapText="1"/>
    </xf>
    <xf numFmtId="0" fontId="10" fillId="0" borderId="0" xfId="0" quotePrefix="1" applyFont="1" applyFill="1" applyAlignment="1">
      <alignment horizontal="justify" vertical="top"/>
    </xf>
    <xf numFmtId="0" fontId="4" fillId="0" borderId="0" xfId="0" applyFont="1" applyFill="1" applyAlignment="1">
      <alignment horizontal="justify" vertical="top" wrapText="1"/>
    </xf>
    <xf numFmtId="0" fontId="4" fillId="0" borderId="0" xfId="0" quotePrefix="1" applyFont="1" applyFill="1"/>
    <xf numFmtId="0" fontId="11" fillId="0" borderId="0" xfId="0" applyFont="1" applyFill="1" applyAlignment="1">
      <alignment vertical="top"/>
    </xf>
    <xf numFmtId="0" fontId="4" fillId="0" borderId="0" xfId="0" quotePrefix="1" applyFont="1" applyFill="1" applyAlignment="1">
      <alignment vertical="top"/>
    </xf>
    <xf numFmtId="0" fontId="4" fillId="0" borderId="0" xfId="0" applyFont="1" applyFill="1" applyAlignment="1">
      <alignment vertical="top"/>
    </xf>
    <xf numFmtId="0" fontId="11" fillId="0" borderId="0" xfId="0" applyFont="1" applyFill="1"/>
    <xf numFmtId="0" fontId="14" fillId="0" borderId="0" xfId="0" applyFont="1" applyFill="1" applyAlignment="1">
      <alignment vertical="center"/>
    </xf>
    <xf numFmtId="0" fontId="7" fillId="0" borderId="0" xfId="0" applyFont="1" applyFill="1" applyAlignment="1">
      <alignment horizontal="justify" vertical="top" wrapText="1"/>
    </xf>
    <xf numFmtId="0" fontId="7" fillId="0" borderId="0" xfId="0" applyFont="1" applyFill="1" applyAlignment="1">
      <alignment vertical="top" wrapText="1"/>
    </xf>
    <xf numFmtId="0" fontId="8" fillId="0" borderId="0" xfId="0" applyFont="1" applyFill="1" applyAlignment="1">
      <alignment horizontal="left" vertical="top" wrapText="1"/>
    </xf>
    <xf numFmtId="0" fontId="9" fillId="0" borderId="0" xfId="0" applyFont="1" applyFill="1" applyAlignment="1">
      <alignment horizontal="justify" vertical="top"/>
    </xf>
    <xf numFmtId="0" fontId="10" fillId="0" borderId="0" xfId="0" applyFont="1" applyFill="1" applyAlignment="1">
      <alignment vertical="top"/>
    </xf>
    <xf numFmtId="0" fontId="4" fillId="0" borderId="0" xfId="0" applyFont="1" applyFill="1" applyAlignment="1">
      <alignment horizontal="justify"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6" fillId="0" borderId="0" xfId="0" quotePrefix="1" applyFont="1" applyFill="1" applyAlignment="1">
      <alignment horizontal="justify" vertical="top"/>
    </xf>
    <xf numFmtId="0" fontId="6" fillId="0" borderId="0" xfId="0" applyFont="1" applyFill="1" applyAlignment="1">
      <alignment horizontal="justify" vertical="top" wrapText="1"/>
    </xf>
    <xf numFmtId="0" fontId="11" fillId="0" borderId="0" xfId="0" applyFont="1" applyFill="1" applyAlignment="1">
      <alignment vertical="top" wrapText="1"/>
    </xf>
    <xf numFmtId="0" fontId="4" fillId="0" borderId="0" xfId="0" applyFont="1" applyFill="1" applyAlignment="1">
      <alignment horizontal="center" vertical="top"/>
    </xf>
    <xf numFmtId="0" fontId="7" fillId="0" borderId="0" xfId="0" applyFont="1" applyFill="1" applyAlignment="1">
      <alignment horizontal="center" vertical="top"/>
    </xf>
    <xf numFmtId="0" fontId="15" fillId="0" borderId="0" xfId="0" applyFont="1" applyFill="1" applyAlignment="1">
      <alignment horizontal="justify" vertical="top" wrapText="1"/>
    </xf>
    <xf numFmtId="0" fontId="10" fillId="0" borderId="0" xfId="0" applyFont="1" applyFill="1" applyAlignment="1">
      <alignment vertical="top" wrapText="1"/>
    </xf>
    <xf numFmtId="0" fontId="14" fillId="0" borderId="0" xfId="0" quotePrefix="1" applyFont="1" applyFill="1" applyAlignment="1">
      <alignment vertical="top"/>
    </xf>
    <xf numFmtId="0" fontId="4" fillId="0" borderId="0" xfId="0" applyFont="1" applyFill="1" applyAlignment="1">
      <alignment horizontal="left" vertical="top" wrapText="1"/>
    </xf>
    <xf numFmtId="0" fontId="16" fillId="0" borderId="0" xfId="0" applyFont="1" applyFill="1" applyAlignment="1">
      <alignment vertical="top" wrapText="1"/>
    </xf>
    <xf numFmtId="0" fontId="3" fillId="0" borderId="0" xfId="0" applyFont="1" applyFill="1" applyAlignment="1">
      <alignment horizontal="justify" vertical="top" wrapText="1"/>
    </xf>
    <xf numFmtId="0" fontId="5" fillId="0" borderId="0" xfId="0" applyFont="1" applyFill="1" applyAlignment="1">
      <alignment vertical="top"/>
    </xf>
    <xf numFmtId="0" fontId="17" fillId="0" borderId="0" xfId="0" applyFont="1" applyFill="1" applyAlignment="1">
      <alignment vertical="top"/>
    </xf>
    <xf numFmtId="0" fontId="7" fillId="0" borderId="0" xfId="0" applyFont="1" applyFill="1" applyAlignment="1">
      <alignment vertical="top"/>
    </xf>
    <xf numFmtId="0" fontId="7" fillId="0" borderId="0" xfId="0" quotePrefix="1" applyFont="1" applyFill="1" applyAlignment="1">
      <alignment vertical="top"/>
    </xf>
    <xf numFmtId="0" fontId="7" fillId="0" borderId="0" xfId="0" applyFont="1" applyFill="1" applyAlignment="1">
      <alignment horizontal="justify" vertical="top" wrapText="1"/>
    </xf>
    <xf numFmtId="0" fontId="18" fillId="0" borderId="0" xfId="0" applyFont="1" applyFill="1" applyAlignment="1">
      <alignment horizontal="left" vertical="top" wrapText="1"/>
    </xf>
    <xf numFmtId="0" fontId="6" fillId="0" borderId="0" xfId="0" applyFont="1" applyFill="1" applyAlignment="1">
      <alignment horizontal="justify" vertical="top" wrapText="1"/>
    </xf>
    <xf numFmtId="0" fontId="7" fillId="0" borderId="0" xfId="0" applyNumberFormat="1" applyFont="1" applyFill="1" applyAlignment="1">
      <alignment horizontal="justify" vertical="center" wrapText="1"/>
    </xf>
    <xf numFmtId="0" fontId="18" fillId="0" borderId="0" xfId="0" applyFont="1" applyFill="1" applyAlignment="1">
      <alignment horizontal="left" vertical="top" wrapText="1"/>
    </xf>
    <xf numFmtId="0" fontId="7" fillId="0" borderId="0" xfId="0" applyNumberFormat="1" applyFont="1" applyFill="1" applyAlignment="1">
      <alignment horizontal="justify"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left" vertical="center"/>
    </xf>
    <xf numFmtId="0" fontId="4" fillId="0" borderId="8" xfId="0" applyFont="1" applyFill="1" applyBorder="1" applyAlignment="1">
      <alignment vertical="top"/>
    </xf>
    <xf numFmtId="0" fontId="10" fillId="0" borderId="8" xfId="0" applyFont="1" applyFill="1" applyBorder="1" applyAlignment="1">
      <alignment horizontal="center" vertical="center"/>
    </xf>
    <xf numFmtId="41" fontId="19" fillId="0" borderId="7" xfId="2" applyNumberFormat="1" applyFont="1" applyFill="1" applyBorder="1" applyAlignment="1">
      <alignment horizontal="center" vertical="center"/>
    </xf>
    <xf numFmtId="41" fontId="19" fillId="0" borderId="8" xfId="2" applyNumberFormat="1" applyFont="1" applyFill="1" applyBorder="1" applyAlignment="1">
      <alignment horizontal="center" vertical="center"/>
    </xf>
    <xf numFmtId="41" fontId="19" fillId="0" borderId="9" xfId="2" applyNumberFormat="1" applyFont="1" applyFill="1" applyBorder="1" applyAlignment="1">
      <alignment horizontal="center" vertical="center"/>
    </xf>
    <xf numFmtId="41" fontId="19" fillId="0" borderId="7" xfId="2" applyNumberFormat="1" applyFont="1" applyFill="1" applyBorder="1" applyAlignment="1">
      <alignment horizontal="center" vertical="center" wrapText="1"/>
    </xf>
    <xf numFmtId="41" fontId="19" fillId="0" borderId="8" xfId="2" applyNumberFormat="1" applyFont="1" applyFill="1" applyBorder="1" applyAlignment="1">
      <alignment horizontal="center" vertical="center" wrapText="1"/>
    </xf>
    <xf numFmtId="41" fontId="19" fillId="0" borderId="9" xfId="2" applyNumberFormat="1" applyFont="1" applyFill="1" applyBorder="1" applyAlignment="1">
      <alignment horizontal="center" vertical="center" wrapText="1"/>
    </xf>
    <xf numFmtId="0" fontId="20" fillId="0" borderId="1" xfId="0" applyFont="1" applyFill="1" applyBorder="1" applyAlignment="1">
      <alignment vertical="top"/>
    </xf>
    <xf numFmtId="0" fontId="10" fillId="0" borderId="2" xfId="0" applyFont="1" applyFill="1" applyBorder="1" applyAlignment="1">
      <alignment vertical="top"/>
    </xf>
    <xf numFmtId="41" fontId="21" fillId="0" borderId="7" xfId="2" applyNumberFormat="1" applyFont="1" applyFill="1" applyBorder="1" applyAlignment="1">
      <alignment horizontal="center" vertical="top" wrapText="1"/>
    </xf>
    <xf numFmtId="41" fontId="21" fillId="0" borderId="8" xfId="2" applyNumberFormat="1" applyFont="1" applyFill="1" applyBorder="1" applyAlignment="1">
      <alignment horizontal="center" vertical="top" wrapText="1"/>
    </xf>
    <xf numFmtId="41" fontId="21" fillId="0" borderId="9" xfId="2" applyNumberFormat="1" applyFont="1" applyFill="1" applyBorder="1" applyAlignment="1">
      <alignment horizontal="center" vertical="top" wrapText="1"/>
    </xf>
    <xf numFmtId="0" fontId="20" fillId="0" borderId="7" xfId="0" applyFont="1" applyFill="1" applyBorder="1" applyAlignment="1">
      <alignment vertical="top"/>
    </xf>
    <xf numFmtId="0" fontId="10" fillId="0" borderId="8" xfId="0" applyFont="1" applyFill="1" applyBorder="1" applyAlignment="1">
      <alignment vertical="top"/>
    </xf>
    <xf numFmtId="0" fontId="14" fillId="0" borderId="7" xfId="0" applyFont="1" applyFill="1" applyBorder="1" applyAlignment="1">
      <alignment vertical="top"/>
    </xf>
    <xf numFmtId="0" fontId="14" fillId="0" borderId="8" xfId="0" applyFont="1" applyFill="1" applyBorder="1" applyAlignment="1">
      <alignment vertical="top"/>
    </xf>
    <xf numFmtId="41" fontId="21" fillId="0" borderId="7" xfId="2" applyNumberFormat="1" applyFont="1" applyFill="1" applyBorder="1" applyAlignment="1">
      <alignment horizontal="center" vertical="top"/>
    </xf>
    <xf numFmtId="41" fontId="21" fillId="0" borderId="8" xfId="2" applyNumberFormat="1" applyFont="1" applyFill="1" applyBorder="1" applyAlignment="1">
      <alignment horizontal="center" vertical="top"/>
    </xf>
    <xf numFmtId="0" fontId="20" fillId="0" borderId="8" xfId="0" applyFont="1" applyFill="1" applyBorder="1" applyAlignment="1">
      <alignment vertical="top"/>
    </xf>
    <xf numFmtId="0" fontId="14" fillId="0" borderId="0" xfId="0" applyFont="1" applyFill="1" applyBorder="1" applyAlignment="1">
      <alignment vertical="top"/>
    </xf>
    <xf numFmtId="0" fontId="10" fillId="0" borderId="0" xfId="0" applyFont="1" applyFill="1" applyBorder="1" applyAlignment="1">
      <alignment vertical="top"/>
    </xf>
    <xf numFmtId="41" fontId="19" fillId="0" borderId="0" xfId="0" applyNumberFormat="1" applyFont="1" applyFill="1" applyBorder="1" applyAlignment="1">
      <alignment horizontal="center" vertical="top" wrapText="1"/>
    </xf>
    <xf numFmtId="0" fontId="10" fillId="0" borderId="0" xfId="0" applyNumberFormat="1" applyFont="1" applyFill="1" applyAlignment="1">
      <alignment horizontal="justify" vertical="center" wrapText="1"/>
    </xf>
    <xf numFmtId="0" fontId="22" fillId="0" borderId="0" xfId="0" applyNumberFormat="1" applyFont="1" applyFill="1" applyAlignment="1">
      <alignment horizontal="justify" vertical="center" wrapText="1"/>
    </xf>
    <xf numFmtId="0" fontId="10" fillId="0" borderId="0" xfId="0" applyNumberFormat="1" applyFont="1" applyFill="1" applyAlignment="1">
      <alignment horizontal="justify" vertical="center" wrapText="1"/>
    </xf>
    <xf numFmtId="0" fontId="22" fillId="0" borderId="0" xfId="0" applyNumberFormat="1" applyFont="1" applyFill="1" applyAlignment="1">
      <alignment horizontal="justify" vertical="center" wrapText="1"/>
    </xf>
    <xf numFmtId="0" fontId="10" fillId="0" borderId="5" xfId="0" applyFont="1" applyFill="1" applyBorder="1" applyAlignment="1">
      <alignment horizontal="center" vertical="top"/>
    </xf>
    <xf numFmtId="0" fontId="23" fillId="0" borderId="10"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164" fontId="4" fillId="0" borderId="10" xfId="2" applyNumberFormat="1" applyFont="1" applyFill="1" applyBorder="1" applyAlignment="1">
      <alignment horizontal="center"/>
    </xf>
    <xf numFmtId="41" fontId="21" fillId="0" borderId="7" xfId="2" applyNumberFormat="1" applyFont="1" applyFill="1" applyBorder="1" applyAlignment="1">
      <alignment horizontal="center" vertical="center"/>
    </xf>
    <xf numFmtId="41" fontId="21" fillId="0" borderId="8" xfId="2" applyNumberFormat="1" applyFont="1" applyFill="1" applyBorder="1" applyAlignment="1">
      <alignment horizontal="center" vertical="center"/>
    </xf>
    <xf numFmtId="41" fontId="21" fillId="0" borderId="9" xfId="2" applyNumberFormat="1" applyFont="1" applyFill="1" applyBorder="1" applyAlignment="1">
      <alignment horizontal="center" vertical="center"/>
    </xf>
    <xf numFmtId="41" fontId="24" fillId="0" borderId="7" xfId="2" applyNumberFormat="1" applyFont="1" applyFill="1" applyBorder="1" applyAlignment="1">
      <alignment horizontal="center"/>
    </xf>
    <xf numFmtId="41" fontId="24" fillId="0" borderId="8" xfId="2" applyNumberFormat="1" applyFont="1" applyFill="1" applyBorder="1" applyAlignment="1">
      <alignment horizontal="center"/>
    </xf>
    <xf numFmtId="41" fontId="24" fillId="0" borderId="9" xfId="2" applyNumberFormat="1" applyFont="1" applyFill="1" applyBorder="1" applyAlignment="1">
      <alignment horizontal="center"/>
    </xf>
    <xf numFmtId="41" fontId="24" fillId="0" borderId="10" xfId="2" applyNumberFormat="1" applyFont="1" applyFill="1" applyBorder="1" applyAlignment="1">
      <alignment horizontal="center"/>
    </xf>
    <xf numFmtId="0" fontId="21" fillId="0" borderId="10" xfId="0" applyFont="1" applyFill="1" applyBorder="1" applyAlignment="1">
      <alignment horizontal="center" vertical="center" wrapText="1"/>
    </xf>
    <xf numFmtId="41" fontId="5" fillId="0" borderId="10" xfId="2" applyNumberFormat="1" applyFont="1" applyFill="1" applyBorder="1" applyAlignment="1">
      <alignment horizontal="center"/>
    </xf>
    <xf numFmtId="41" fontId="25" fillId="0" borderId="7" xfId="2" applyNumberFormat="1" applyFont="1" applyFill="1" applyBorder="1" applyAlignment="1">
      <alignment horizontal="center" vertical="top"/>
    </xf>
    <xf numFmtId="41" fontId="25" fillId="0" borderId="8" xfId="2" applyNumberFormat="1" applyFont="1" applyFill="1" applyBorder="1" applyAlignment="1">
      <alignment horizontal="center" vertical="top"/>
    </xf>
    <xf numFmtId="41" fontId="25" fillId="0" borderId="9" xfId="2" applyNumberFormat="1" applyFont="1" applyFill="1" applyBorder="1" applyAlignment="1">
      <alignment horizontal="center" vertical="top"/>
    </xf>
    <xf numFmtId="41" fontId="21" fillId="0" borderId="10" xfId="2" applyFont="1" applyFill="1" applyBorder="1" applyAlignment="1">
      <alignment horizontal="center" vertical="center" wrapText="1"/>
    </xf>
    <xf numFmtId="41" fontId="21" fillId="0" borderId="7" xfId="2" applyNumberFormat="1" applyFont="1" applyFill="1" applyBorder="1" applyAlignment="1">
      <alignment horizontal="center" vertical="center" wrapText="1"/>
    </xf>
    <xf numFmtId="41" fontId="21" fillId="0" borderId="8" xfId="2" applyNumberFormat="1" applyFont="1" applyFill="1" applyBorder="1" applyAlignment="1">
      <alignment horizontal="center" vertical="center" wrapText="1"/>
    </xf>
    <xf numFmtId="41" fontId="21" fillId="0" borderId="9" xfId="2" applyNumberFormat="1" applyFont="1" applyFill="1" applyBorder="1" applyAlignment="1">
      <alignment horizontal="center" vertical="center" wrapText="1"/>
    </xf>
    <xf numFmtId="41" fontId="5" fillId="0" borderId="10" xfId="2" applyNumberFormat="1" applyFont="1" applyFill="1" applyBorder="1" applyAlignment="1">
      <alignment horizontal="center" vertical="center"/>
    </xf>
    <xf numFmtId="164" fontId="21" fillId="0" borderId="0" xfId="2" applyNumberFormat="1"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15" fillId="0" borderId="0" xfId="0" applyFont="1" applyFill="1" applyBorder="1" applyAlignment="1">
      <alignment horizontal="center" vertical="top"/>
    </xf>
    <xf numFmtId="0" fontId="15" fillId="0" borderId="0" xfId="0" applyFont="1" applyFill="1" applyBorder="1" applyAlignment="1">
      <alignment horizontal="left" vertical="top"/>
    </xf>
    <xf numFmtId="0" fontId="14" fillId="0" borderId="10" xfId="0" applyFont="1" applyFill="1" applyBorder="1" applyAlignment="1">
      <alignment horizontal="center" vertical="center" wrapText="1"/>
    </xf>
    <xf numFmtId="164" fontId="16" fillId="0" borderId="10" xfId="2" applyNumberFormat="1" applyFont="1" applyFill="1" applyBorder="1" applyAlignment="1">
      <alignment horizontal="center"/>
    </xf>
    <xf numFmtId="41" fontId="26" fillId="0" borderId="7" xfId="2" applyNumberFormat="1" applyFont="1" applyFill="1" applyBorder="1" applyAlignment="1">
      <alignment horizontal="center" vertical="center"/>
    </xf>
    <xf numFmtId="41" fontId="26" fillId="0" borderId="8" xfId="2" applyNumberFormat="1" applyFont="1" applyFill="1" applyBorder="1" applyAlignment="1">
      <alignment horizontal="center" vertical="center"/>
    </xf>
    <xf numFmtId="41" fontId="26" fillId="0" borderId="9" xfId="2" applyNumberFormat="1" applyFont="1" applyFill="1" applyBorder="1" applyAlignment="1">
      <alignment horizontal="center" vertical="center"/>
    </xf>
    <xf numFmtId="41" fontId="5" fillId="0" borderId="7" xfId="2" applyNumberFormat="1" applyFont="1" applyFill="1" applyBorder="1" applyAlignment="1">
      <alignment horizontal="center"/>
    </xf>
    <xf numFmtId="41" fontId="5" fillId="0" borderId="8" xfId="2" applyNumberFormat="1" applyFont="1" applyFill="1" applyBorder="1" applyAlignment="1">
      <alignment horizontal="center"/>
    </xf>
    <xf numFmtId="41" fontId="5" fillId="0" borderId="9" xfId="2" applyNumberFormat="1" applyFont="1" applyFill="1" applyBorder="1" applyAlignment="1">
      <alignment horizontal="center"/>
    </xf>
    <xf numFmtId="43" fontId="21" fillId="0" borderId="10" xfId="0" applyNumberFormat="1" applyFont="1" applyFill="1" applyBorder="1" applyAlignment="1">
      <alignment horizontal="center" vertical="center" wrapText="1"/>
    </xf>
    <xf numFmtId="43" fontId="10" fillId="0" borderId="0" xfId="0" applyNumberFormat="1" applyFont="1" applyFill="1" applyAlignment="1">
      <alignment vertical="top"/>
    </xf>
    <xf numFmtId="41" fontId="26" fillId="0" borderId="7" xfId="2" applyNumberFormat="1" applyFont="1" applyFill="1" applyBorder="1" applyAlignment="1">
      <alignment horizontal="center" vertical="top" wrapText="1"/>
    </xf>
    <xf numFmtId="41" fontId="26" fillId="0" borderId="8" xfId="2" applyNumberFormat="1" applyFont="1" applyFill="1" applyBorder="1" applyAlignment="1">
      <alignment horizontal="center" vertical="top" wrapText="1"/>
    </xf>
    <xf numFmtId="41" fontId="26" fillId="0" borderId="9" xfId="2" applyNumberFormat="1" applyFont="1" applyFill="1" applyBorder="1" applyAlignment="1">
      <alignment horizontal="center" vertical="top" wrapText="1"/>
    </xf>
    <xf numFmtId="41" fontId="27" fillId="0" borderId="7" xfId="2" applyNumberFormat="1" applyFont="1" applyFill="1" applyBorder="1" applyAlignment="1">
      <alignment horizontal="center" vertical="top"/>
    </xf>
    <xf numFmtId="41" fontId="27" fillId="0" borderId="8" xfId="2" applyNumberFormat="1" applyFont="1" applyFill="1" applyBorder="1" applyAlignment="1">
      <alignment horizontal="center" vertical="top"/>
    </xf>
    <xf numFmtId="41" fontId="27" fillId="0" borderId="9" xfId="2" applyNumberFormat="1" applyFont="1" applyFill="1" applyBorder="1" applyAlignment="1">
      <alignment horizontal="center" vertical="top"/>
    </xf>
    <xf numFmtId="41" fontId="26" fillId="0" borderId="7" xfId="2" applyNumberFormat="1" applyFont="1" applyFill="1" applyBorder="1" applyAlignment="1">
      <alignment horizontal="center" vertical="center" wrapText="1"/>
    </xf>
    <xf numFmtId="41" fontId="26" fillId="0" borderId="8" xfId="2" applyNumberFormat="1" applyFont="1" applyFill="1" applyBorder="1" applyAlignment="1">
      <alignment horizontal="center" vertical="center" wrapText="1"/>
    </xf>
    <xf numFmtId="41" fontId="26" fillId="0" borderId="9" xfId="2" applyNumberFormat="1" applyFont="1" applyFill="1" applyBorder="1" applyAlignment="1">
      <alignment horizontal="center" vertical="center" wrapText="1"/>
    </xf>
    <xf numFmtId="0" fontId="10" fillId="0" borderId="0" xfId="0" applyNumberFormat="1" applyFont="1" applyFill="1" applyAlignment="1">
      <alignment vertical="top" wrapText="1"/>
    </xf>
    <xf numFmtId="0" fontId="15" fillId="0" borderId="0" xfId="0" applyFont="1" applyFill="1" applyBorder="1" applyAlignment="1">
      <alignment horizontal="left" vertical="top" wrapText="1"/>
    </xf>
    <xf numFmtId="0" fontId="6" fillId="0" borderId="0" xfId="0" applyFont="1" applyFill="1" applyAlignment="1">
      <alignment horizontal="center" vertical="top" wrapText="1"/>
    </xf>
    <xf numFmtId="0" fontId="6" fillId="0" borderId="0" xfId="0" applyFont="1" applyFill="1" applyBorder="1" applyAlignment="1">
      <alignment horizontal="left" vertical="top"/>
    </xf>
    <xf numFmtId="0" fontId="6" fillId="0" borderId="0" xfId="0" applyFont="1" applyFill="1" applyBorder="1" applyAlignment="1">
      <alignment horizontal="justify" vertical="center" wrapText="1"/>
    </xf>
    <xf numFmtId="0" fontId="14" fillId="0" borderId="0" xfId="0" applyFont="1" applyFill="1" applyBorder="1" applyAlignment="1">
      <alignment horizontal="left" vertical="top"/>
    </xf>
    <xf numFmtId="0" fontId="10" fillId="0" borderId="0" xfId="0" applyNumberFormat="1" applyFont="1" applyFill="1" applyAlignment="1">
      <alignment horizontal="justify" vertical="top" wrapText="1"/>
    </xf>
    <xf numFmtId="0" fontId="28" fillId="0" borderId="0" xfId="0" applyFont="1" applyFill="1" applyAlignment="1">
      <alignment horizontal="right" vertical="center"/>
    </xf>
    <xf numFmtId="0" fontId="3"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horizontal="left" vertical="top"/>
    </xf>
    <xf numFmtId="0" fontId="29" fillId="0" borderId="0" xfId="0" applyNumberFormat="1" applyFont="1" applyFill="1" applyAlignment="1">
      <alignment horizontal="justify" vertical="center" wrapText="1"/>
    </xf>
    <xf numFmtId="0" fontId="10" fillId="0" borderId="0" xfId="0" quotePrefix="1" applyFont="1" applyFill="1" applyAlignment="1">
      <alignment vertical="top"/>
    </xf>
    <xf numFmtId="0" fontId="10" fillId="0" borderId="0" xfId="0" applyFont="1" applyFill="1" applyAlignment="1">
      <alignment horizontal="justify" vertical="top" wrapText="1"/>
    </xf>
    <xf numFmtId="0" fontId="14" fillId="0" borderId="0" xfId="0" applyFont="1" applyFill="1" applyBorder="1" applyAlignment="1">
      <alignment horizontal="center" vertical="top"/>
    </xf>
    <xf numFmtId="0" fontId="14" fillId="0" borderId="5" xfId="0" applyFont="1" applyFill="1" applyBorder="1" applyAlignment="1">
      <alignment horizontal="center" vertical="top"/>
    </xf>
    <xf numFmtId="0" fontId="29" fillId="0" borderId="0" xfId="0" applyFont="1" applyFill="1" applyBorder="1" applyAlignment="1">
      <alignment vertical="top" wrapText="1"/>
    </xf>
    <xf numFmtId="0" fontId="28" fillId="0" borderId="1" xfId="0" applyFont="1" applyFill="1" applyBorder="1" applyAlignment="1">
      <alignment horizontal="center" vertical="center"/>
    </xf>
    <xf numFmtId="0" fontId="0" fillId="0" borderId="2" xfId="0" applyFill="1" applyBorder="1"/>
    <xf numFmtId="0" fontId="0" fillId="0" borderId="3" xfId="0" applyFill="1" applyBorder="1"/>
    <xf numFmtId="1" fontId="28" fillId="0" borderId="7" xfId="0" applyNumberFormat="1" applyFont="1" applyFill="1" applyBorder="1" applyAlignment="1">
      <alignment horizontal="center" vertical="center" wrapText="1"/>
    </xf>
    <xf numFmtId="1" fontId="28" fillId="0" borderId="8" xfId="0" applyNumberFormat="1" applyFont="1" applyFill="1" applyBorder="1" applyAlignment="1">
      <alignment horizontal="center" vertical="center" wrapText="1"/>
    </xf>
    <xf numFmtId="1" fontId="28" fillId="0" borderId="9"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4" xfId="0" applyFill="1" applyBorder="1"/>
    <xf numFmtId="0" fontId="0" fillId="0" borderId="5" xfId="0" applyFill="1" applyBorder="1"/>
    <xf numFmtId="0" fontId="0" fillId="0" borderId="6" xfId="0" applyFill="1" applyBorder="1"/>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41" fontId="19" fillId="0" borderId="7" xfId="0" applyNumberFormat="1" applyFont="1" applyFill="1" applyBorder="1" applyAlignment="1">
      <alignment horizontal="center" vertical="center" wrapText="1"/>
    </xf>
    <xf numFmtId="41" fontId="19" fillId="0" borderId="8" xfId="0" applyNumberFormat="1" applyFont="1" applyFill="1" applyBorder="1" applyAlignment="1">
      <alignment horizontal="center" vertical="center" wrapText="1"/>
    </xf>
    <xf numFmtId="41" fontId="19" fillId="0" borderId="9" xfId="0" applyNumberFormat="1" applyFont="1" applyFill="1" applyBorder="1" applyAlignment="1">
      <alignment horizontal="center" vertical="center" wrapText="1"/>
    </xf>
    <xf numFmtId="41" fontId="21" fillId="0" borderId="7" xfId="0" applyNumberFormat="1" applyFont="1" applyFill="1" applyBorder="1" applyAlignment="1">
      <alignment horizontal="center" vertical="center" wrapText="1"/>
    </xf>
    <xf numFmtId="41" fontId="21" fillId="0" borderId="8" xfId="0" applyNumberFormat="1" applyFont="1" applyFill="1" applyBorder="1" applyAlignment="1">
      <alignment horizontal="center" vertical="center" wrapText="1"/>
    </xf>
    <xf numFmtId="41" fontId="21" fillId="0" borderId="9" xfId="0" applyNumberFormat="1" applyFont="1" applyFill="1" applyBorder="1" applyAlignment="1">
      <alignment horizontal="center" vertical="center" wrapText="1"/>
    </xf>
    <xf numFmtId="164" fontId="30" fillId="0" borderId="7" xfId="2" applyNumberFormat="1" applyFont="1" applyFill="1" applyBorder="1" applyAlignment="1">
      <alignment horizontal="left" vertical="center" wrapText="1"/>
    </xf>
    <xf numFmtId="164" fontId="30" fillId="0" borderId="9" xfId="2" applyNumberFormat="1" applyFont="1" applyFill="1" applyBorder="1" applyAlignment="1">
      <alignment horizontal="left" vertical="center"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41" fontId="19" fillId="0" borderId="7" xfId="1" applyNumberFormat="1" applyFont="1" applyFill="1" applyBorder="1" applyAlignment="1">
      <alignment horizontal="center" vertical="center" wrapText="1"/>
    </xf>
    <xf numFmtId="41" fontId="19" fillId="0" borderId="8" xfId="1" applyNumberFormat="1" applyFont="1" applyFill="1" applyBorder="1" applyAlignment="1">
      <alignment horizontal="center" vertical="center" wrapText="1"/>
    </xf>
    <xf numFmtId="41" fontId="19" fillId="0" borderId="9" xfId="1" applyNumberFormat="1" applyFont="1" applyFill="1" applyBorder="1" applyAlignment="1">
      <alignment horizontal="center" vertical="center" wrapText="1"/>
    </xf>
    <xf numFmtId="41" fontId="26" fillId="0" borderId="7" xfId="1" applyNumberFormat="1" applyFont="1" applyFill="1" applyBorder="1" applyAlignment="1">
      <alignment horizontal="center" vertical="center" wrapText="1"/>
    </xf>
    <xf numFmtId="41" fontId="26" fillId="0" borderId="8" xfId="1" applyNumberFormat="1" applyFont="1" applyFill="1" applyBorder="1" applyAlignment="1">
      <alignment horizontal="center" vertical="center" wrapText="1"/>
    </xf>
    <xf numFmtId="41" fontId="26" fillId="0" borderId="9" xfId="1" applyNumberFormat="1" applyFont="1" applyFill="1" applyBorder="1" applyAlignment="1">
      <alignment horizontal="center" vertical="center" wrapText="1"/>
    </xf>
    <xf numFmtId="164" fontId="17" fillId="0" borderId="7" xfId="2" applyNumberFormat="1" applyFont="1" applyFill="1" applyBorder="1" applyAlignment="1">
      <alignment horizontal="center" vertical="center" wrapText="1"/>
    </xf>
    <xf numFmtId="164" fontId="17" fillId="0" borderId="8" xfId="2" applyNumberFormat="1" applyFont="1" applyFill="1" applyBorder="1" applyAlignment="1">
      <alignment horizontal="center" vertical="center" wrapText="1"/>
    </xf>
    <xf numFmtId="0" fontId="27" fillId="0" borderId="10" xfId="0" quotePrefix="1" applyFont="1" applyFill="1" applyBorder="1" applyAlignment="1">
      <alignment horizontal="center" vertical="center" wrapText="1"/>
    </xf>
    <xf numFmtId="0" fontId="5" fillId="0" borderId="10" xfId="0" applyFont="1" applyFill="1" applyBorder="1" applyAlignment="1">
      <alignment horizontal="center" vertical="center" wrapText="1"/>
    </xf>
    <xf numFmtId="165" fontId="25" fillId="0" borderId="10" xfId="0" applyNumberFormat="1" applyFont="1" applyFill="1" applyBorder="1" applyAlignment="1">
      <alignment horizontal="left" vertical="top" wrapText="1"/>
    </xf>
    <xf numFmtId="0" fontId="24" fillId="0" borderId="10" xfId="0" applyFont="1" applyFill="1" applyBorder="1" applyAlignment="1">
      <alignment horizontal="left" vertical="top" wrapText="1"/>
    </xf>
    <xf numFmtId="165" fontId="27" fillId="0" borderId="10" xfId="0" applyNumberFormat="1" applyFont="1" applyFill="1" applyBorder="1" applyAlignment="1">
      <alignment horizontal="left" vertical="top" wrapText="1"/>
    </xf>
    <xf numFmtId="0" fontId="5" fillId="0" borderId="1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9" xfId="0" applyFont="1" applyFill="1" applyBorder="1" applyAlignment="1">
      <alignment horizontal="left" vertical="top"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41" fontId="23" fillId="0" borderId="7" xfId="0" applyNumberFormat="1" applyFont="1" applyFill="1" applyBorder="1" applyAlignment="1">
      <alignment horizontal="center" vertical="center" wrapText="1"/>
    </xf>
    <xf numFmtId="41" fontId="23" fillId="0" borderId="8" xfId="0" applyNumberFormat="1" applyFont="1" applyFill="1" applyBorder="1" applyAlignment="1">
      <alignment horizontal="center" vertical="center" wrapText="1"/>
    </xf>
    <xf numFmtId="41" fontId="23" fillId="0" borderId="9" xfId="0" applyNumberFormat="1" applyFont="1" applyFill="1" applyBorder="1" applyAlignment="1">
      <alignment horizontal="center" vertical="center" wrapText="1"/>
    </xf>
    <xf numFmtId="164" fontId="32" fillId="0" borderId="7" xfId="2" applyNumberFormat="1" applyFont="1" applyFill="1" applyBorder="1" applyAlignment="1">
      <alignment horizontal="left" vertical="center" wrapText="1"/>
    </xf>
    <xf numFmtId="164" fontId="32" fillId="0" borderId="9" xfId="2" applyNumberFormat="1" applyFont="1" applyFill="1" applyBorder="1" applyAlignment="1">
      <alignment horizontal="left" vertical="center" wrapText="1"/>
    </xf>
    <xf numFmtId="0" fontId="14" fillId="0" borderId="0" xfId="0" quotePrefix="1" applyFont="1" applyFill="1" applyAlignment="1">
      <alignment horizontal="justify" vertical="top" wrapText="1"/>
    </xf>
    <xf numFmtId="0" fontId="14" fillId="0" borderId="0" xfId="0" applyFont="1" applyFill="1" applyBorder="1" applyAlignment="1">
      <alignment horizontal="left" vertical="top" wrapText="1"/>
    </xf>
    <xf numFmtId="0" fontId="10" fillId="0" borderId="0" xfId="0" applyNumberFormat="1" applyFont="1" applyFill="1" applyAlignment="1">
      <alignment horizontal="justify" vertical="top"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164" fontId="19" fillId="0" borderId="7" xfId="0" applyNumberFormat="1" applyFont="1" applyFill="1" applyBorder="1" applyAlignment="1">
      <alignment horizontal="center" vertical="center" wrapText="1"/>
    </xf>
    <xf numFmtId="164" fontId="19" fillId="0" borderId="8" xfId="0" applyNumberFormat="1" applyFont="1" applyFill="1" applyBorder="1" applyAlignment="1">
      <alignment horizontal="center" vertical="center" wrapText="1"/>
    </xf>
    <xf numFmtId="164" fontId="19" fillId="0" borderId="9" xfId="0" applyNumberFormat="1" applyFont="1" applyFill="1" applyBorder="1" applyAlignment="1">
      <alignment horizontal="center" vertical="center" wrapText="1"/>
    </xf>
    <xf numFmtId="164" fontId="19" fillId="0" borderId="7" xfId="0" applyNumberFormat="1" applyFont="1" applyFill="1" applyBorder="1" applyAlignment="1">
      <alignment horizontal="right" vertical="top" wrapText="1"/>
    </xf>
    <xf numFmtId="164" fontId="19" fillId="0" borderId="8" xfId="0" applyNumberFormat="1" applyFont="1" applyFill="1" applyBorder="1" applyAlignment="1">
      <alignment horizontal="right" vertical="top" wrapText="1"/>
    </xf>
    <xf numFmtId="164" fontId="19" fillId="0" borderId="9" xfId="0" applyNumberFormat="1" applyFont="1" applyFill="1" applyBorder="1" applyAlignment="1">
      <alignment horizontal="right" vertical="top" wrapText="1"/>
    </xf>
    <xf numFmtId="164" fontId="26" fillId="0" borderId="7"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164" fontId="26" fillId="0" borderId="9" xfId="0" applyNumberFormat="1" applyFont="1" applyFill="1" applyBorder="1" applyAlignment="1">
      <alignment horizontal="center" vertical="center" wrapText="1"/>
    </xf>
    <xf numFmtId="41" fontId="19" fillId="0" borderId="7" xfId="0" applyNumberFormat="1" applyFont="1" applyFill="1" applyBorder="1" applyAlignment="1">
      <alignment horizontal="right" vertical="top" wrapText="1"/>
    </xf>
    <xf numFmtId="41" fontId="19" fillId="0" borderId="8" xfId="0" applyNumberFormat="1" applyFont="1" applyFill="1" applyBorder="1" applyAlignment="1">
      <alignment horizontal="right" vertical="top" wrapText="1"/>
    </xf>
    <xf numFmtId="41" fontId="19" fillId="0" borderId="9" xfId="0" applyNumberFormat="1" applyFont="1" applyFill="1" applyBorder="1" applyAlignment="1">
      <alignment horizontal="right" vertical="top" wrapText="1"/>
    </xf>
    <xf numFmtId="41" fontId="26" fillId="0" borderId="7" xfId="0" applyNumberFormat="1" applyFont="1" applyFill="1" applyBorder="1" applyAlignment="1">
      <alignment horizontal="center" vertical="center" wrapText="1"/>
    </xf>
    <xf numFmtId="41" fontId="26" fillId="0" borderId="8" xfId="0" applyNumberFormat="1" applyFont="1" applyFill="1" applyBorder="1" applyAlignment="1">
      <alignment horizontal="center" vertical="center" wrapText="1"/>
    </xf>
    <xf numFmtId="41" fontId="26" fillId="0" borderId="9" xfId="0" applyNumberFormat="1" applyFont="1" applyFill="1" applyBorder="1" applyAlignment="1">
      <alignment horizontal="center" vertical="center" wrapText="1"/>
    </xf>
    <xf numFmtId="41" fontId="28" fillId="0" borderId="7" xfId="0" applyNumberFormat="1" applyFont="1" applyFill="1" applyBorder="1" applyAlignment="1">
      <alignment horizontal="right" vertical="top" wrapText="1"/>
    </xf>
    <xf numFmtId="41" fontId="28" fillId="0" borderId="8" xfId="0" applyNumberFormat="1" applyFont="1" applyFill="1" applyBorder="1" applyAlignment="1">
      <alignment horizontal="right" vertical="top" wrapText="1"/>
    </xf>
    <xf numFmtId="41" fontId="28" fillId="0" borderId="9" xfId="0" applyNumberFormat="1" applyFont="1" applyFill="1" applyBorder="1" applyAlignment="1">
      <alignment horizontal="right" vertical="top" wrapText="1"/>
    </xf>
    <xf numFmtId="41" fontId="28" fillId="0" borderId="7" xfId="0" applyNumberFormat="1" applyFont="1" applyFill="1" applyBorder="1" applyAlignment="1">
      <alignment horizontal="center" vertical="center" wrapText="1"/>
    </xf>
    <xf numFmtId="41" fontId="28" fillId="0" borderId="8" xfId="0" applyNumberFormat="1" applyFont="1" applyFill="1" applyBorder="1" applyAlignment="1">
      <alignment horizontal="center" vertical="center" wrapText="1"/>
    </xf>
    <xf numFmtId="41" fontId="28" fillId="0" borderId="9" xfId="0" applyNumberFormat="1" applyFont="1" applyFill="1" applyBorder="1" applyAlignment="1">
      <alignment horizontal="center" vertical="center" wrapText="1"/>
    </xf>
    <xf numFmtId="41" fontId="33" fillId="0" borderId="7" xfId="0" applyNumberFormat="1" applyFont="1" applyFill="1" applyBorder="1" applyAlignment="1">
      <alignment horizontal="center" vertical="center" wrapText="1"/>
    </xf>
    <xf numFmtId="41" fontId="33" fillId="0" borderId="8" xfId="0" applyNumberFormat="1" applyFont="1" applyFill="1" applyBorder="1" applyAlignment="1">
      <alignment horizontal="center" vertical="center" wrapText="1"/>
    </xf>
    <xf numFmtId="41" fontId="33" fillId="0" borderId="9" xfId="0" applyNumberFormat="1" applyFont="1" applyFill="1" applyBorder="1" applyAlignment="1">
      <alignment horizontal="center" vertical="center" wrapText="1"/>
    </xf>
    <xf numFmtId="0" fontId="10" fillId="0" borderId="0" xfId="0" applyNumberFormat="1" applyFont="1" applyFill="1" applyAlignment="1">
      <alignment horizontal="center" vertical="center" wrapText="1"/>
    </xf>
    <xf numFmtId="0" fontId="10" fillId="0" borderId="0" xfId="0" applyNumberFormat="1" applyFont="1" applyFill="1" applyAlignment="1">
      <alignment horizontal="left" vertical="top" wrapText="1"/>
    </xf>
    <xf numFmtId="0" fontId="14" fillId="0" borderId="10"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top" wrapText="1"/>
    </xf>
    <xf numFmtId="0" fontId="10" fillId="0" borderId="10" xfId="0" applyNumberFormat="1" applyFont="1" applyFill="1" applyBorder="1" applyAlignment="1">
      <alignment horizontal="justify" vertical="top" wrapText="1"/>
    </xf>
    <xf numFmtId="164" fontId="15" fillId="0" borderId="10" xfId="2" applyNumberFormat="1" applyFont="1" applyFill="1" applyBorder="1" applyAlignment="1">
      <alignment horizontal="left" vertical="center" wrapText="1"/>
    </xf>
    <xf numFmtId="0" fontId="10" fillId="0" borderId="0" xfId="0" applyNumberFormat="1" applyFont="1" applyFill="1" applyAlignment="1">
      <alignment vertical="top" wrapText="1"/>
    </xf>
    <xf numFmtId="0" fontId="14" fillId="0" borderId="7"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0" fontId="14" fillId="0" borderId="9" xfId="0" applyNumberFormat="1" applyFont="1" applyFill="1" applyBorder="1" applyAlignment="1">
      <alignment horizontal="center" vertical="top" wrapText="1"/>
    </xf>
    <xf numFmtId="164" fontId="34" fillId="0" borderId="10" xfId="2" applyNumberFormat="1" applyFont="1" applyFill="1" applyBorder="1" applyAlignment="1">
      <alignment horizontal="left" vertical="top" wrapText="1"/>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wrapText="1" readingOrder="1"/>
    </xf>
    <xf numFmtId="0" fontId="14" fillId="0" borderId="0" xfId="0" applyNumberFormat="1" applyFont="1" applyFill="1" applyBorder="1" applyAlignment="1">
      <alignment horizontal="center" vertical="center" wrapText="1"/>
    </xf>
    <xf numFmtId="41" fontId="23" fillId="0" borderId="0" xfId="0" applyNumberFormat="1" applyFont="1" applyFill="1" applyBorder="1" applyAlignment="1">
      <alignment horizontal="center" vertical="center" wrapText="1"/>
    </xf>
    <xf numFmtId="0" fontId="19" fillId="0" borderId="0" xfId="0" applyNumberFormat="1" applyFont="1" applyFill="1" applyAlignment="1">
      <alignment horizontal="left" vertical="center" wrapText="1"/>
    </xf>
    <xf numFmtId="41" fontId="15" fillId="0" borderId="10" xfId="2" applyNumberFormat="1" applyFont="1" applyFill="1" applyBorder="1" applyAlignment="1">
      <alignment horizontal="left" vertical="center" wrapText="1"/>
    </xf>
    <xf numFmtId="41" fontId="6" fillId="0" borderId="10" xfId="2" applyNumberFormat="1" applyFont="1" applyFill="1" applyBorder="1" applyAlignment="1">
      <alignment horizontal="left" vertical="top" wrapText="1"/>
    </xf>
    <xf numFmtId="164" fontId="6" fillId="0" borderId="10" xfId="2" applyNumberFormat="1" applyFont="1" applyFill="1" applyBorder="1" applyAlignment="1">
      <alignment horizontal="left" vertical="top" wrapText="1"/>
    </xf>
    <xf numFmtId="41" fontId="37" fillId="0" borderId="10" xfId="2" applyNumberFormat="1" applyFont="1" applyFill="1" applyBorder="1" applyAlignment="1">
      <alignment horizontal="left" vertical="center" wrapText="1"/>
    </xf>
    <xf numFmtId="41" fontId="38" fillId="0" borderId="10" xfId="2" applyNumberFormat="1" applyFont="1" applyFill="1" applyBorder="1" applyAlignment="1">
      <alignment horizontal="left" vertical="top" wrapText="1"/>
    </xf>
    <xf numFmtId="0" fontId="11" fillId="0" borderId="0" xfId="0" applyFont="1" applyFill="1" applyAlignment="1">
      <alignment vertical="center"/>
    </xf>
    <xf numFmtId="0" fontId="4" fillId="0" borderId="0" xfId="0" applyFont="1" applyFill="1" applyAlignment="1">
      <alignment vertical="center"/>
    </xf>
    <xf numFmtId="0" fontId="14" fillId="0" borderId="0" xfId="0" quotePrefix="1" applyFont="1" applyFill="1" applyAlignment="1">
      <alignment horizontal="justify" vertical="center" wrapText="1"/>
    </xf>
    <xf numFmtId="0" fontId="14" fillId="0" borderId="0" xfId="0" applyNumberFormat="1" applyFont="1" applyFill="1" applyAlignment="1">
      <alignment horizontal="justify" vertical="center" wrapText="1"/>
    </xf>
    <xf numFmtId="0" fontId="10" fillId="0" borderId="0" xfId="0" quotePrefix="1" applyFont="1" applyFill="1" applyAlignment="1">
      <alignment horizontal="justify" vertical="top" wrapText="1"/>
    </xf>
    <xf numFmtId="0" fontId="10" fillId="0" borderId="0" xfId="0" applyFont="1" applyFill="1" applyBorder="1" applyAlignment="1">
      <alignment horizontal="justify" vertical="top" wrapText="1"/>
    </xf>
    <xf numFmtId="0" fontId="39" fillId="0" borderId="0" xfId="0" applyFont="1" applyFill="1" applyBorder="1" applyAlignment="1">
      <alignment horizontal="left" vertical="top" wrapText="1"/>
    </xf>
    <xf numFmtId="0" fontId="28" fillId="0" borderId="1" xfId="0" quotePrefix="1" applyFont="1" applyFill="1" applyBorder="1" applyAlignment="1">
      <alignment horizontal="center" vertical="center" wrapText="1"/>
    </xf>
    <xf numFmtId="0" fontId="28" fillId="0" borderId="3" xfId="0" quotePrefix="1" applyFont="1" applyFill="1" applyBorder="1" applyAlignment="1">
      <alignment horizontal="center" vertical="center" wrapText="1"/>
    </xf>
    <xf numFmtId="0" fontId="28" fillId="0" borderId="4" xfId="0" quotePrefix="1" applyFont="1" applyFill="1" applyBorder="1" applyAlignment="1">
      <alignment horizontal="center" vertical="center" wrapText="1"/>
    </xf>
    <xf numFmtId="0" fontId="28" fillId="0" borderId="6" xfId="0" quotePrefix="1" applyFont="1" applyFill="1" applyBorder="1" applyAlignment="1">
      <alignment horizontal="center" vertical="center"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41" fontId="10" fillId="0" borderId="7" xfId="0" applyNumberFormat="1" applyFont="1" applyFill="1" applyBorder="1" applyAlignment="1">
      <alignment horizontal="center" vertical="center" wrapText="1"/>
    </xf>
    <xf numFmtId="41" fontId="10" fillId="0" borderId="8" xfId="0" applyNumberFormat="1" applyFont="1" applyFill="1" applyBorder="1" applyAlignment="1">
      <alignment horizontal="center" vertical="center" wrapText="1"/>
    </xf>
    <xf numFmtId="41" fontId="10" fillId="0" borderId="9"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41" fontId="14" fillId="0" borderId="7" xfId="0" applyNumberFormat="1" applyFont="1" applyFill="1" applyBorder="1" applyAlignment="1">
      <alignment horizontal="center" vertical="center" wrapText="1"/>
    </xf>
    <xf numFmtId="41" fontId="14" fillId="0" borderId="8" xfId="0" applyNumberFormat="1" applyFont="1" applyFill="1" applyBorder="1" applyAlignment="1">
      <alignment horizontal="center" vertical="center" wrapText="1"/>
    </xf>
    <xf numFmtId="41" fontId="14" fillId="0" borderId="9" xfId="0" applyNumberFormat="1" applyFont="1" applyFill="1" applyBorder="1" applyAlignment="1">
      <alignment horizontal="center" vertical="center" wrapText="1"/>
    </xf>
    <xf numFmtId="0" fontId="10" fillId="0" borderId="0" xfId="0" applyFont="1" applyFill="1" applyAlignment="1">
      <alignment horizontal="justify" vertical="top" wrapText="1"/>
    </xf>
    <xf numFmtId="0" fontId="28" fillId="0" borderId="0" xfId="0" applyFont="1" applyFill="1" applyAlignment="1">
      <alignment horizontal="center" vertical="center"/>
    </xf>
    <xf numFmtId="0" fontId="10"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horizontal="justify" vertical="top" wrapText="1"/>
    </xf>
    <xf numFmtId="0" fontId="4" fillId="0" borderId="9" xfId="0" applyFont="1" applyFill="1" applyBorder="1" applyAlignment="1">
      <alignment vertical="top"/>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41" fontId="26" fillId="0" borderId="7" xfId="2" applyFont="1" applyFill="1" applyBorder="1" applyAlignment="1">
      <alignment horizontal="center" vertical="center" wrapText="1"/>
    </xf>
    <xf numFmtId="41" fontId="26" fillId="0" borderId="8" xfId="2" applyFont="1" applyFill="1" applyBorder="1" applyAlignment="1">
      <alignment horizontal="center" vertical="center" wrapText="1"/>
    </xf>
    <xf numFmtId="41" fontId="26" fillId="0" borderId="9" xfId="2" applyFont="1" applyFill="1" applyBorder="1" applyAlignment="1">
      <alignment horizontal="center" vertical="center" wrapText="1"/>
    </xf>
    <xf numFmtId="0" fontId="20" fillId="0" borderId="0" xfId="0" applyFont="1" applyFill="1" applyBorder="1" applyAlignment="1">
      <alignment horizontal="center" vertical="top"/>
    </xf>
    <xf numFmtId="0" fontId="38" fillId="0" borderId="7" xfId="0" quotePrefix="1" applyFont="1" applyFill="1" applyBorder="1" applyAlignment="1">
      <alignment horizontal="center" vertical="center" wrapText="1"/>
    </xf>
    <xf numFmtId="0" fontId="38" fillId="0" borderId="9" xfId="0" quotePrefix="1" applyFont="1" applyFill="1" applyBorder="1" applyAlignment="1">
      <alignment horizontal="center" vertical="center" wrapText="1"/>
    </xf>
    <xf numFmtId="164" fontId="17" fillId="0" borderId="9" xfId="2" applyNumberFormat="1" applyFont="1" applyFill="1" applyBorder="1" applyAlignment="1">
      <alignment horizontal="center" vertical="center" wrapText="1"/>
    </xf>
    <xf numFmtId="0" fontId="20" fillId="0" borderId="10" xfId="0" quotePrefix="1" applyFont="1" applyFill="1" applyBorder="1" applyAlignment="1">
      <alignment horizontal="left" vertical="top" wrapText="1"/>
    </xf>
    <xf numFmtId="0" fontId="4" fillId="0" borderId="10" xfId="0" applyFont="1" applyFill="1" applyBorder="1" applyAlignment="1">
      <alignment horizontal="left" vertical="top" wrapText="1"/>
    </xf>
    <xf numFmtId="0" fontId="20" fillId="0" borderId="7" xfId="0" quotePrefix="1" applyFont="1" applyFill="1" applyBorder="1" applyAlignment="1">
      <alignment horizontal="left" vertical="top" wrapText="1"/>
    </xf>
    <xf numFmtId="0" fontId="20" fillId="0" borderId="8" xfId="0" quotePrefix="1" applyFont="1" applyFill="1" applyBorder="1" applyAlignment="1">
      <alignment horizontal="left" vertical="top" wrapText="1"/>
    </xf>
    <xf numFmtId="0" fontId="20" fillId="0" borderId="9" xfId="0" quotePrefix="1" applyFont="1" applyFill="1" applyBorder="1" applyAlignment="1">
      <alignment horizontal="left" vertical="top"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41" fontId="21" fillId="0" borderId="7" xfId="2" applyNumberFormat="1" applyFont="1" applyFill="1" applyBorder="1" applyAlignment="1">
      <alignment horizontal="right" vertical="center" wrapText="1"/>
    </xf>
    <xf numFmtId="41" fontId="21" fillId="0" borderId="8" xfId="2" applyNumberFormat="1" applyFont="1" applyFill="1" applyBorder="1" applyAlignment="1">
      <alignment horizontal="right" vertical="center" wrapText="1"/>
    </xf>
    <xf numFmtId="41" fontId="21" fillId="0" borderId="9" xfId="2" applyNumberFormat="1" applyFont="1" applyFill="1" applyBorder="1" applyAlignment="1">
      <alignment horizontal="right" vertical="center" wrapText="1"/>
    </xf>
    <xf numFmtId="166" fontId="41" fillId="0" borderId="7" xfId="2" applyNumberFormat="1" applyFont="1" applyFill="1" applyBorder="1" applyAlignment="1">
      <alignment horizontal="center" vertical="center" wrapText="1"/>
    </xf>
    <xf numFmtId="166" fontId="41" fillId="0" borderId="9" xfId="2" applyNumberFormat="1" applyFont="1" applyFill="1" applyBorder="1" applyAlignment="1">
      <alignment horizontal="center" vertical="center" wrapText="1"/>
    </xf>
    <xf numFmtId="165" fontId="27" fillId="0" borderId="7" xfId="0" applyNumberFormat="1" applyFont="1" applyFill="1" applyBorder="1" applyAlignment="1">
      <alignment horizontal="left" vertical="top" wrapText="1"/>
    </xf>
    <xf numFmtId="165" fontId="27" fillId="0" borderId="8" xfId="0" applyNumberFormat="1" applyFont="1" applyFill="1" applyBorder="1" applyAlignment="1">
      <alignment horizontal="left" vertical="top" wrapText="1"/>
    </xf>
    <xf numFmtId="165" fontId="27" fillId="0" borderId="9" xfId="0" applyNumberFormat="1" applyFont="1" applyFill="1" applyBorder="1" applyAlignment="1">
      <alignment horizontal="left" vertical="top" wrapText="1"/>
    </xf>
    <xf numFmtId="0" fontId="31" fillId="0" borderId="10" xfId="0" applyFont="1" applyFill="1" applyBorder="1" applyAlignment="1">
      <alignment horizontal="left" vertical="center" wrapText="1"/>
    </xf>
    <xf numFmtId="0" fontId="28" fillId="0" borderId="10" xfId="0" applyFont="1" applyFill="1" applyBorder="1" applyAlignment="1">
      <alignment horizontal="center" vertical="top" wrapText="1"/>
    </xf>
    <xf numFmtId="41" fontId="26" fillId="0" borderId="7" xfId="2" applyNumberFormat="1" applyFont="1" applyFill="1" applyBorder="1" applyAlignment="1">
      <alignment horizontal="right" vertical="center" wrapText="1"/>
    </xf>
    <xf numFmtId="41" fontId="26" fillId="0" borderId="8" xfId="2" applyNumberFormat="1" applyFont="1" applyFill="1" applyBorder="1" applyAlignment="1">
      <alignment horizontal="right" vertical="center" wrapText="1"/>
    </xf>
    <xf numFmtId="41" fontId="26" fillId="0" borderId="9" xfId="2" applyNumberFormat="1" applyFont="1" applyFill="1" applyBorder="1" applyAlignment="1">
      <alignment horizontal="right" vertical="center" wrapText="1"/>
    </xf>
    <xf numFmtId="165" fontId="42" fillId="0" borderId="10" xfId="0" applyNumberFormat="1" applyFont="1" applyFill="1" applyBorder="1" applyAlignment="1">
      <alignment horizontal="left" vertical="top" wrapText="1"/>
    </xf>
    <xf numFmtId="0" fontId="43" fillId="0" borderId="10" xfId="0" applyFont="1" applyFill="1" applyBorder="1" applyAlignment="1">
      <alignment horizontal="left" vertical="top" wrapText="1"/>
    </xf>
    <xf numFmtId="0" fontId="28"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164" fontId="23" fillId="0" borderId="0" xfId="2" applyNumberFormat="1" applyFont="1" applyFill="1" applyBorder="1" applyAlignment="1">
      <alignment horizontal="center" vertical="center" wrapText="1"/>
    </xf>
    <xf numFmtId="0" fontId="15" fillId="0" borderId="0" xfId="0" quotePrefix="1" applyFont="1" applyFill="1" applyAlignment="1">
      <alignment vertical="top"/>
    </xf>
    <xf numFmtId="0" fontId="15" fillId="0" borderId="0" xfId="0" applyFont="1" applyFill="1" applyBorder="1" applyAlignment="1">
      <alignment horizontal="justify" vertical="top" wrapText="1"/>
    </xf>
    <xf numFmtId="164" fontId="21" fillId="0" borderId="0" xfId="2" applyNumberFormat="1" applyFont="1" applyFill="1" applyBorder="1" applyAlignment="1">
      <alignment horizontal="center" vertical="center" wrapText="1"/>
    </xf>
    <xf numFmtId="0" fontId="15" fillId="0" borderId="0" xfId="0" applyFont="1" applyFill="1" applyAlignment="1">
      <alignment vertical="top"/>
    </xf>
    <xf numFmtId="0" fontId="15" fillId="0" borderId="0" xfId="0" applyFont="1" applyFill="1" applyBorder="1" applyAlignment="1">
      <alignment horizontal="justify" vertical="top" wrapText="1"/>
    </xf>
    <xf numFmtId="0" fontId="10" fillId="0" borderId="0" xfId="0" applyFont="1" applyFill="1" applyAlignment="1">
      <alignment horizontal="left" vertical="top" wrapText="1"/>
    </xf>
    <xf numFmtId="0" fontId="14" fillId="0" borderId="0" xfId="0" applyFont="1" applyFill="1" applyAlignment="1">
      <alignment vertical="top"/>
    </xf>
    <xf numFmtId="0" fontId="28" fillId="0" borderId="2"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0" fillId="0" borderId="10" xfId="0" quotePrefix="1" applyFont="1" applyFill="1" applyBorder="1" applyAlignment="1">
      <alignment horizontal="left" vertical="top" wrapText="1"/>
    </xf>
    <xf numFmtId="0" fontId="4" fillId="0" borderId="10" xfId="0" applyFont="1" applyFill="1" applyBorder="1" applyAlignment="1">
      <alignment horizontal="left" vertical="top" wrapText="1"/>
    </xf>
    <xf numFmtId="0" fontId="31" fillId="0" borderId="10" xfId="0" applyFont="1" applyFill="1" applyBorder="1" applyAlignment="1">
      <alignment horizontal="left" vertical="top" wrapText="1"/>
    </xf>
    <xf numFmtId="165" fontId="44" fillId="0" borderId="7" xfId="0" applyNumberFormat="1"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165" fontId="44" fillId="0" borderId="8" xfId="0" applyNumberFormat="1" applyFont="1" applyFill="1" applyBorder="1" applyAlignment="1">
      <alignment horizontal="center" vertical="center" wrapText="1"/>
    </xf>
    <xf numFmtId="165" fontId="44" fillId="0" borderId="9" xfId="0" applyNumberFormat="1" applyFont="1" applyFill="1" applyBorder="1" applyAlignment="1">
      <alignment horizontal="center" vertical="center" wrapText="1"/>
    </xf>
    <xf numFmtId="164" fontId="23" fillId="0" borderId="7" xfId="0" applyNumberFormat="1" applyFont="1" applyFill="1" applyBorder="1" applyAlignment="1">
      <alignment horizontal="center" vertical="top" wrapText="1"/>
    </xf>
    <xf numFmtId="164" fontId="23" fillId="0" borderId="8" xfId="0" applyNumberFormat="1" applyFont="1" applyFill="1" applyBorder="1" applyAlignment="1">
      <alignment horizontal="center" vertical="top" wrapText="1"/>
    </xf>
    <xf numFmtId="164" fontId="23" fillId="0" borderId="9" xfId="0" applyNumberFormat="1" applyFont="1" applyFill="1" applyBorder="1" applyAlignment="1">
      <alignment horizontal="center" vertical="top" wrapText="1"/>
    </xf>
    <xf numFmtId="164" fontId="45" fillId="0" borderId="7" xfId="0" applyNumberFormat="1" applyFont="1" applyFill="1" applyBorder="1" applyAlignment="1">
      <alignment horizontal="center" vertical="center" wrapText="1"/>
    </xf>
    <xf numFmtId="164" fontId="45" fillId="0" borderId="8" xfId="0" applyNumberFormat="1" applyFont="1" applyFill="1" applyBorder="1" applyAlignment="1">
      <alignment horizontal="center" vertical="center" wrapText="1"/>
    </xf>
    <xf numFmtId="164" fontId="45" fillId="0" borderId="9" xfId="0" applyNumberFormat="1" applyFont="1" applyFill="1" applyBorder="1" applyAlignment="1">
      <alignment horizontal="center" vertical="center" wrapText="1"/>
    </xf>
    <xf numFmtId="164" fontId="46" fillId="0" borderId="7" xfId="2" applyNumberFormat="1" applyFont="1" applyFill="1" applyBorder="1" applyAlignment="1">
      <alignment horizontal="center" vertical="center" wrapText="1"/>
    </xf>
    <xf numFmtId="164" fontId="46" fillId="0" borderId="9" xfId="2" applyNumberFormat="1" applyFont="1" applyFill="1" applyBorder="1" applyAlignment="1">
      <alignment horizontal="center" vertical="center" wrapText="1"/>
    </xf>
    <xf numFmtId="164" fontId="8" fillId="0" borderId="0" xfId="0" applyNumberFormat="1" applyFont="1" applyFill="1" applyAlignment="1">
      <alignment horizontal="left" vertical="top" wrapText="1"/>
    </xf>
    <xf numFmtId="164" fontId="10" fillId="0" borderId="0" xfId="0" applyNumberFormat="1" applyFont="1" applyFill="1" applyBorder="1" applyAlignment="1">
      <alignment horizontal="center" vertical="top" wrapText="1"/>
    </xf>
    <xf numFmtId="164" fontId="4" fillId="0" borderId="0" xfId="0" applyNumberFormat="1" applyFont="1" applyFill="1" applyAlignment="1">
      <alignment vertical="top"/>
    </xf>
    <xf numFmtId="164" fontId="10"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47" fillId="0" borderId="0" xfId="0" applyNumberFormat="1" applyFont="1" applyFill="1" applyAlignment="1">
      <alignment horizontal="left" vertical="top" wrapText="1"/>
    </xf>
    <xf numFmtId="164" fontId="10"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20" fillId="0" borderId="5" xfId="0" applyFont="1" applyFill="1" applyBorder="1" applyAlignment="1">
      <alignment horizontal="center" vertical="top"/>
    </xf>
    <xf numFmtId="0" fontId="28" fillId="0" borderId="10" xfId="0" applyFont="1" applyFill="1" applyBorder="1" applyAlignment="1">
      <alignment horizontal="center" vertical="center" wrapText="1"/>
    </xf>
    <xf numFmtId="41" fontId="19" fillId="0" borderId="7" xfId="2" applyNumberFormat="1" applyFont="1" applyFill="1" applyBorder="1" applyAlignment="1">
      <alignment horizontal="right" vertical="center" wrapText="1"/>
    </xf>
    <xf numFmtId="41" fontId="19" fillId="0" borderId="8" xfId="2" applyNumberFormat="1" applyFont="1" applyFill="1" applyBorder="1" applyAlignment="1">
      <alignment horizontal="right" vertical="center" wrapText="1"/>
    </xf>
    <xf numFmtId="41" fontId="19" fillId="0" borderId="9" xfId="2" applyNumberFormat="1" applyFont="1" applyFill="1" applyBorder="1" applyAlignment="1">
      <alignment horizontal="right" vertical="center" wrapText="1"/>
    </xf>
    <xf numFmtId="0" fontId="16" fillId="0" borderId="0" xfId="0" applyFont="1" applyFill="1" applyAlignment="1">
      <alignment vertical="top"/>
    </xf>
    <xf numFmtId="41" fontId="23" fillId="0" borderId="7" xfId="2" applyNumberFormat="1" applyFont="1" applyFill="1" applyBorder="1" applyAlignment="1">
      <alignment horizontal="right" vertical="center" wrapText="1"/>
    </xf>
    <xf numFmtId="41" fontId="23" fillId="0" borderId="8" xfId="2" applyNumberFormat="1" applyFont="1" applyFill="1" applyBorder="1" applyAlignment="1">
      <alignment horizontal="right" vertical="center" wrapText="1"/>
    </xf>
    <xf numFmtId="41" fontId="23" fillId="0" borderId="9" xfId="2" applyNumberFormat="1" applyFont="1" applyFill="1" applyBorder="1" applyAlignment="1">
      <alignment horizontal="right" vertical="center" wrapText="1"/>
    </xf>
    <xf numFmtId="41" fontId="33" fillId="0" borderId="7" xfId="2" applyNumberFormat="1" applyFont="1" applyFill="1" applyBorder="1" applyAlignment="1">
      <alignment horizontal="right" vertical="center" wrapText="1"/>
    </xf>
    <xf numFmtId="41" fontId="33" fillId="0" borderId="8" xfId="2" applyNumberFormat="1" applyFont="1" applyFill="1" applyBorder="1" applyAlignment="1">
      <alignment horizontal="right" vertical="center" wrapText="1"/>
    </xf>
    <xf numFmtId="41" fontId="33" fillId="0" borderId="9" xfId="2" applyNumberFormat="1" applyFont="1" applyFill="1" applyBorder="1" applyAlignment="1">
      <alignment horizontal="right" vertical="center" wrapText="1"/>
    </xf>
    <xf numFmtId="166" fontId="46" fillId="0" borderId="7" xfId="2" applyNumberFormat="1" applyFont="1" applyFill="1" applyBorder="1" applyAlignment="1">
      <alignment horizontal="center" vertical="center" wrapText="1"/>
    </xf>
    <xf numFmtId="166" fontId="46" fillId="0" borderId="9" xfId="2" applyNumberFormat="1" applyFont="1" applyFill="1" applyBorder="1" applyAlignment="1">
      <alignment horizontal="center" vertical="center" wrapText="1"/>
    </xf>
    <xf numFmtId="0" fontId="28" fillId="0" borderId="0" xfId="0" applyFont="1" applyFill="1" applyBorder="1" applyAlignment="1">
      <alignment horizontal="center" vertical="top" wrapText="1"/>
    </xf>
    <xf numFmtId="165" fontId="23" fillId="0" borderId="0" xfId="0" applyNumberFormat="1" applyFont="1" applyFill="1" applyBorder="1" applyAlignment="1">
      <alignment horizontal="center" vertical="center" wrapText="1"/>
    </xf>
    <xf numFmtId="41" fontId="48" fillId="0" borderId="0" xfId="0" applyNumberFormat="1" applyFont="1" applyFill="1" applyBorder="1" applyAlignment="1">
      <alignment horizontal="center" vertical="top" wrapText="1"/>
    </xf>
    <xf numFmtId="0" fontId="10" fillId="0" borderId="0" xfId="0" applyFont="1" applyFill="1" applyAlignment="1">
      <alignment horizontal="center" vertical="top"/>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0" xfId="0" applyFont="1" applyFill="1" applyAlignment="1">
      <alignment vertical="top"/>
    </xf>
    <xf numFmtId="0" fontId="20" fillId="0" borderId="5" xfId="0" applyFont="1" applyFill="1" applyBorder="1" applyAlignment="1">
      <alignment horizontal="center" vertical="center"/>
    </xf>
    <xf numFmtId="0" fontId="48" fillId="0" borderId="7" xfId="0" quotePrefix="1" applyFont="1" applyFill="1" applyBorder="1" applyAlignment="1">
      <alignment horizontal="center" vertical="center" wrapText="1"/>
    </xf>
    <xf numFmtId="0" fontId="48" fillId="0" borderId="9" xfId="0" applyFont="1" applyFill="1" applyBorder="1" applyAlignment="1">
      <alignment horizontal="center" vertical="center" wrapText="1"/>
    </xf>
    <xf numFmtId="0" fontId="20" fillId="0" borderId="10" xfId="0" applyFont="1" applyFill="1" applyBorder="1" applyAlignment="1">
      <alignment horizontal="left" vertical="top" wrapText="1"/>
    </xf>
    <xf numFmtId="0" fontId="1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vertical="top" wrapText="1"/>
    </xf>
    <xf numFmtId="164" fontId="17" fillId="0" borderId="0" xfId="2" applyNumberFormat="1" applyFont="1" applyFill="1" applyBorder="1" applyAlignment="1">
      <alignment vertical="center" wrapText="1"/>
    </xf>
    <xf numFmtId="0" fontId="20" fillId="0" borderId="0" xfId="0" applyFont="1" applyFill="1" applyBorder="1" applyAlignment="1">
      <alignment vertical="top" wrapText="1"/>
    </xf>
    <xf numFmtId="0" fontId="15" fillId="3" borderId="0" xfId="0" applyFont="1" applyFill="1" applyBorder="1" applyAlignment="1">
      <alignment horizontal="justify" vertical="top" wrapText="1"/>
    </xf>
    <xf numFmtId="0" fontId="15" fillId="0" borderId="0" xfId="0" applyFont="1" applyFill="1" applyAlignment="1">
      <alignment horizontal="justify" vertical="top" wrapText="1"/>
    </xf>
    <xf numFmtId="165" fontId="44" fillId="0" borderId="10" xfId="0" applyNumberFormat="1"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0" fillId="0" borderId="0" xfId="0" applyFont="1" applyFill="1" applyAlignment="1">
      <alignment horizontal="left" vertical="top"/>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quotePrefix="1" applyFont="1" applyFill="1" applyAlignment="1">
      <alignment horizontal="left" vertical="top"/>
    </xf>
    <xf numFmtId="0" fontId="19" fillId="0" borderId="0" xfId="0" applyFont="1" applyFill="1" applyBorder="1" applyAlignment="1">
      <alignment horizontal="center" vertical="top" wrapText="1"/>
    </xf>
    <xf numFmtId="0" fontId="7" fillId="0" borderId="0" xfId="0" applyFont="1" applyFill="1" applyBorder="1" applyAlignment="1">
      <alignment horizontal="justify" vertical="top" wrapText="1"/>
    </xf>
    <xf numFmtId="0" fontId="7" fillId="0" borderId="0" xfId="0" applyFont="1" applyFill="1" applyBorder="1" applyAlignment="1">
      <alignment horizontal="justify" vertical="top" wrapText="1"/>
    </xf>
    <xf numFmtId="0" fontId="20" fillId="0" borderId="5" xfId="0" applyFont="1" applyFill="1" applyBorder="1" applyAlignment="1">
      <alignment horizontal="center" vertical="center" wrapText="1"/>
    </xf>
    <xf numFmtId="164" fontId="49" fillId="0" borderId="7" xfId="2" applyNumberFormat="1" applyFont="1" applyFill="1" applyBorder="1" applyAlignment="1">
      <alignment horizontal="center" vertical="center" wrapText="1"/>
    </xf>
    <xf numFmtId="164" fontId="49" fillId="0" borderId="8" xfId="2" applyNumberFormat="1" applyFont="1" applyFill="1" applyBorder="1" applyAlignment="1">
      <alignment horizontal="center" vertical="center" wrapText="1"/>
    </xf>
    <xf numFmtId="0" fontId="25" fillId="0" borderId="10" xfId="0" quotePrefix="1" applyFont="1" applyFill="1" applyBorder="1" applyAlignment="1">
      <alignment horizontal="left" vertical="top" wrapText="1"/>
    </xf>
    <xf numFmtId="0" fontId="50" fillId="0" borderId="10"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2" fillId="0" borderId="10" xfId="0" applyFont="1" applyFill="1" applyBorder="1" applyAlignment="1">
      <alignment horizontal="center" vertical="center" wrapText="1"/>
    </xf>
    <xf numFmtId="0" fontId="51" fillId="0" borderId="10" xfId="0" applyFont="1" applyFill="1" applyBorder="1" applyAlignment="1">
      <alignment horizontal="center" vertical="center" wrapText="1"/>
    </xf>
    <xf numFmtId="165" fontId="52" fillId="0" borderId="7"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25" fillId="0" borderId="7" xfId="0" quotePrefix="1" applyFont="1" applyFill="1" applyBorder="1" applyAlignment="1">
      <alignment horizontal="left" vertical="top" wrapText="1"/>
    </xf>
    <xf numFmtId="0" fontId="25" fillId="0" borderId="8" xfId="0" quotePrefix="1" applyFont="1" applyFill="1" applyBorder="1" applyAlignment="1">
      <alignment horizontal="left" vertical="top" wrapText="1"/>
    </xf>
    <xf numFmtId="0" fontId="25" fillId="0" borderId="9" xfId="0" quotePrefix="1" applyFont="1" applyFill="1" applyBorder="1" applyAlignment="1">
      <alignment horizontal="left" vertical="top" wrapText="1"/>
    </xf>
    <xf numFmtId="165" fontId="21" fillId="0" borderId="10" xfId="0" applyNumberFormat="1" applyFont="1" applyFill="1" applyBorder="1" applyAlignment="1">
      <alignment horizontal="center" vertical="center" wrapText="1"/>
    </xf>
    <xf numFmtId="165" fontId="25" fillId="0" borderId="7" xfId="0" applyNumberFormat="1" applyFont="1" applyFill="1" applyBorder="1" applyAlignment="1">
      <alignment horizontal="left" vertical="top" wrapText="1"/>
    </xf>
    <xf numFmtId="165" fontId="25" fillId="0" borderId="8" xfId="0" applyNumberFormat="1" applyFont="1" applyFill="1" applyBorder="1" applyAlignment="1">
      <alignment horizontal="left" vertical="top" wrapText="1"/>
    </xf>
    <xf numFmtId="165" fontId="25" fillId="0" borderId="9" xfId="0" applyNumberFormat="1" applyFont="1" applyFill="1" applyBorder="1" applyAlignment="1">
      <alignment horizontal="left" vertical="top" wrapText="1"/>
    </xf>
    <xf numFmtId="0" fontId="14" fillId="0" borderId="8" xfId="0" applyFont="1" applyFill="1" applyBorder="1" applyAlignment="1">
      <alignment horizontal="center" vertical="top" wrapText="1"/>
    </xf>
    <xf numFmtId="0" fontId="14" fillId="0" borderId="9" xfId="0" applyFont="1" applyFill="1" applyBorder="1" applyAlignment="1">
      <alignment horizontal="center" vertical="top" wrapText="1"/>
    </xf>
    <xf numFmtId="165" fontId="23" fillId="0" borderId="7" xfId="0"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53" fillId="0" borderId="0" xfId="0" applyFont="1" applyFill="1" applyBorder="1" applyAlignment="1">
      <alignment horizontal="justify" vertical="top" wrapText="1"/>
    </xf>
    <xf numFmtId="164" fontId="17" fillId="0" borderId="0" xfId="2" applyNumberFormat="1" applyFont="1" applyFill="1" applyBorder="1" applyAlignment="1">
      <alignment horizontal="center" vertical="center" wrapText="1"/>
    </xf>
    <xf numFmtId="165" fontId="25"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165" fontId="25" fillId="0" borderId="2" xfId="0" applyNumberFormat="1" applyFont="1" applyFill="1" applyBorder="1" applyAlignment="1">
      <alignment horizontal="left" vertical="top" wrapText="1"/>
    </xf>
    <xf numFmtId="0" fontId="10" fillId="0" borderId="0" xfId="0" applyFont="1" applyFill="1" applyBorder="1" applyAlignment="1">
      <alignment horizontal="left" vertical="center" wrapText="1"/>
    </xf>
    <xf numFmtId="164" fontId="17" fillId="0" borderId="7" xfId="2" quotePrefix="1" applyNumberFormat="1"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5" xfId="0" applyFont="1" applyFill="1" applyBorder="1" applyAlignment="1">
      <alignment vertical="top" wrapText="1"/>
    </xf>
    <xf numFmtId="0" fontId="20" fillId="0" borderId="5" xfId="0" applyFont="1" applyFill="1" applyBorder="1" applyAlignment="1">
      <alignmen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165" fontId="21" fillId="0" borderId="7" xfId="0" applyNumberFormat="1" applyFont="1" applyFill="1" applyBorder="1" applyAlignment="1">
      <alignment horizontal="center" vertical="center" wrapText="1"/>
    </xf>
    <xf numFmtId="165" fontId="21" fillId="0" borderId="8" xfId="0" applyNumberFormat="1" applyFont="1" applyFill="1" applyBorder="1" applyAlignment="1">
      <alignment horizontal="center" vertical="center" wrapText="1"/>
    </xf>
    <xf numFmtId="165" fontId="21" fillId="0" borderId="9" xfId="0" applyNumberFormat="1" applyFont="1" applyFill="1" applyBorder="1" applyAlignment="1">
      <alignment horizontal="center" vertical="center" wrapText="1"/>
    </xf>
    <xf numFmtId="165" fontId="21" fillId="0" borderId="7" xfId="0" applyNumberFormat="1" applyFont="1" applyFill="1" applyBorder="1" applyAlignment="1">
      <alignment horizontal="center" wrapText="1"/>
    </xf>
    <xf numFmtId="165" fontId="21" fillId="0" borderId="8" xfId="0" applyNumberFormat="1" applyFont="1" applyFill="1" applyBorder="1" applyAlignment="1">
      <alignment horizontal="center" wrapText="1"/>
    </xf>
    <xf numFmtId="165" fontId="21" fillId="0" borderId="9" xfId="0" applyNumberFormat="1" applyFont="1" applyFill="1" applyBorder="1" applyAlignment="1">
      <alignment horizontal="center" wrapText="1"/>
    </xf>
    <xf numFmtId="165" fontId="23" fillId="0" borderId="8"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top" wrapText="1"/>
    </xf>
    <xf numFmtId="41" fontId="7" fillId="0" borderId="0" xfId="0" applyNumberFormat="1" applyFont="1" applyFill="1" applyBorder="1" applyAlignment="1">
      <alignment horizontal="center" vertical="top" wrapText="1"/>
    </xf>
    <xf numFmtId="0" fontId="14" fillId="0" borderId="0" xfId="0" applyFont="1" applyFill="1" applyAlignment="1">
      <alignment vertical="top" wrapText="1"/>
    </xf>
    <xf numFmtId="164" fontId="41" fillId="0" borderId="7" xfId="2" applyNumberFormat="1" applyFont="1" applyFill="1" applyBorder="1" applyAlignment="1">
      <alignment horizontal="center" vertical="center" wrapText="1"/>
    </xf>
    <xf numFmtId="164" fontId="41" fillId="0" borderId="9" xfId="2" applyNumberFormat="1" applyFont="1" applyFill="1" applyBorder="1" applyAlignment="1">
      <alignment horizontal="center" vertical="center" wrapText="1"/>
    </xf>
    <xf numFmtId="41" fontId="54" fillId="0" borderId="0" xfId="0" applyNumberFormat="1" applyFont="1" applyFill="1" applyBorder="1" applyAlignment="1">
      <alignment horizontal="center" vertical="top" wrapText="1"/>
    </xf>
    <xf numFmtId="0" fontId="9" fillId="0" borderId="0" xfId="0" applyFont="1" applyFill="1" applyAlignment="1">
      <alignment horizontal="center" vertical="top" wrapText="1"/>
    </xf>
    <xf numFmtId="0" fontId="38" fillId="0" borderId="0" xfId="0" quotePrefix="1" applyFont="1" applyFill="1" applyAlignment="1">
      <alignment vertical="top"/>
    </xf>
    <xf numFmtId="0" fontId="6" fillId="0" borderId="0" xfId="0" applyFont="1" applyFill="1" applyAlignment="1">
      <alignment horizontal="left" vertical="top" wrapText="1"/>
    </xf>
    <xf numFmtId="0" fontId="55" fillId="0" borderId="0" xfId="0" applyFont="1" applyFill="1" applyAlignment="1">
      <alignment horizontal="center" vertical="top" wrapText="1"/>
    </xf>
    <xf numFmtId="0" fontId="54" fillId="0" borderId="0" xfId="0" quotePrefix="1" applyFont="1" applyFill="1" applyAlignment="1">
      <alignment vertical="top"/>
    </xf>
    <xf numFmtId="0" fontId="7" fillId="0" borderId="0" xfId="0" applyFont="1" applyFill="1" applyAlignment="1">
      <alignment horizontal="left" vertical="top" wrapText="1"/>
    </xf>
    <xf numFmtId="0" fontId="28" fillId="0" borderId="11" xfId="0" applyFont="1" applyFill="1" applyBorder="1" applyAlignment="1">
      <alignment vertical="center" wrapText="1"/>
    </xf>
    <xf numFmtId="0" fontId="19" fillId="0" borderId="11" xfId="0" applyFont="1" applyFill="1" applyBorder="1" applyAlignment="1">
      <alignment vertical="top" wrapText="1"/>
    </xf>
    <xf numFmtId="164" fontId="21" fillId="0" borderId="7" xfId="2" applyNumberFormat="1" applyFont="1" applyFill="1" applyBorder="1" applyAlignment="1">
      <alignment horizontal="left" vertical="center" wrapText="1"/>
    </xf>
    <xf numFmtId="164" fontId="21" fillId="0" borderId="8" xfId="2" applyNumberFormat="1" applyFont="1" applyFill="1" applyBorder="1" applyAlignment="1">
      <alignment horizontal="left" vertical="center" wrapText="1"/>
    </xf>
    <xf numFmtId="164" fontId="21" fillId="0" borderId="9" xfId="2" applyNumberFormat="1" applyFont="1" applyFill="1" applyBorder="1" applyAlignment="1">
      <alignment horizontal="left" vertical="center" wrapText="1"/>
    </xf>
    <xf numFmtId="164" fontId="23" fillId="0" borderId="7" xfId="2" applyNumberFormat="1" applyFont="1" applyFill="1" applyBorder="1" applyAlignment="1">
      <alignment horizontal="center" vertical="center" wrapText="1"/>
    </xf>
    <xf numFmtId="164" fontId="23" fillId="0" borderId="8" xfId="2" applyNumberFormat="1" applyFont="1" applyFill="1" applyBorder="1" applyAlignment="1">
      <alignment horizontal="center" vertical="center" wrapText="1"/>
    </xf>
    <xf numFmtId="164" fontId="23" fillId="0" borderId="9" xfId="2" applyNumberFormat="1" applyFont="1" applyFill="1" applyBorder="1" applyAlignment="1">
      <alignment horizontal="center" vertical="center" wrapText="1"/>
    </xf>
    <xf numFmtId="0" fontId="56" fillId="0" borderId="0" xfId="0" quotePrefix="1" applyFont="1" applyFill="1" applyAlignment="1">
      <alignment vertical="top"/>
    </xf>
    <xf numFmtId="0" fontId="55" fillId="0" borderId="0" xfId="0" applyFont="1" applyFill="1" applyAlignment="1">
      <alignment horizontal="left" vertical="top" wrapText="1"/>
    </xf>
    <xf numFmtId="0" fontId="38" fillId="0" borderId="0" xfId="0" applyFont="1" applyFill="1" applyAlignment="1">
      <alignment vertical="top"/>
    </xf>
    <xf numFmtId="0" fontId="19" fillId="0" borderId="0" xfId="0" quotePrefix="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41" fontId="19" fillId="0" borderId="0" xfId="0" applyNumberFormat="1" applyFont="1" applyFill="1" applyBorder="1" applyAlignment="1">
      <alignment vertical="center" wrapText="1"/>
    </xf>
    <xf numFmtId="41"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41" fontId="19" fillId="0" borderId="0" xfId="0" applyNumberFormat="1" applyFont="1" applyFill="1" applyBorder="1" applyAlignment="1">
      <alignment horizontal="center" vertical="center" wrapText="1"/>
    </xf>
    <xf numFmtId="164" fontId="19" fillId="0" borderId="5" xfId="0" applyNumberFormat="1" applyFont="1" applyFill="1" applyBorder="1" applyAlignment="1">
      <alignment horizontal="center" vertical="center" wrapText="1"/>
    </xf>
    <xf numFmtId="0" fontId="28" fillId="0" borderId="0" xfId="0" applyFont="1" applyFill="1" applyBorder="1" applyAlignment="1">
      <alignment horizontal="right" vertical="center"/>
    </xf>
    <xf numFmtId="41" fontId="28" fillId="0" borderId="0" xfId="0" applyNumberFormat="1" applyFont="1" applyFill="1" applyBorder="1" applyAlignment="1">
      <alignment vertical="center" wrapText="1"/>
    </xf>
    <xf numFmtId="164"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7" fillId="0" borderId="0" xfId="0" applyFont="1" applyFill="1" applyBorder="1" applyAlignment="1">
      <alignment vertical="top" wrapText="1"/>
    </xf>
    <xf numFmtId="0" fontId="14"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1" fontId="14" fillId="0" borderId="7" xfId="0" applyNumberFormat="1" applyFont="1" applyFill="1" applyBorder="1" applyAlignment="1">
      <alignment horizontal="center" vertical="center" wrapText="1"/>
    </xf>
    <xf numFmtId="0" fontId="4" fillId="0" borderId="8" xfId="0" applyFont="1" applyFill="1" applyBorder="1"/>
    <xf numFmtId="0" fontId="4" fillId="0" borderId="9" xfId="0" applyFont="1" applyFill="1" applyBorder="1"/>
    <xf numFmtId="0" fontId="4" fillId="0" borderId="7" xfId="0" applyFont="1" applyFill="1" applyBorder="1" applyAlignment="1">
      <alignment horizontal="center" vertical="top"/>
    </xf>
    <xf numFmtId="0" fontId="10" fillId="0" borderId="10" xfId="0" applyFont="1" applyFill="1" applyBorder="1" applyAlignment="1">
      <alignment horizontal="center" vertical="top" wrapText="1"/>
    </xf>
    <xf numFmtId="43" fontId="5" fillId="0" borderId="7" xfId="1" applyNumberFormat="1" applyFont="1" applyFill="1" applyBorder="1" applyAlignment="1">
      <alignment horizontal="center" vertical="top"/>
    </xf>
    <xf numFmtId="43" fontId="5" fillId="0" borderId="9" xfId="1" applyNumberFormat="1" applyFont="1" applyFill="1" applyBorder="1" applyAlignment="1">
      <alignment horizontal="center" vertical="top"/>
    </xf>
    <xf numFmtId="0" fontId="8" fillId="0" borderId="11" xfId="0" applyFont="1" applyFill="1" applyBorder="1" applyAlignment="1">
      <alignment horizontal="left" vertical="top" wrapText="1"/>
    </xf>
    <xf numFmtId="164" fontId="4" fillId="0" borderId="8" xfId="2" applyNumberFormat="1" applyFont="1" applyFill="1" applyBorder="1"/>
    <xf numFmtId="164" fontId="4" fillId="0" borderId="9" xfId="2" applyNumberFormat="1" applyFont="1" applyFill="1" applyBorder="1"/>
    <xf numFmtId="0" fontId="9" fillId="0" borderId="0" xfId="0" applyFont="1" applyFill="1" applyAlignment="1">
      <alignment horizontal="left" vertical="top" wrapText="1"/>
    </xf>
    <xf numFmtId="0" fontId="9" fillId="0" borderId="0" xfId="0" applyFont="1" applyFill="1" applyAlignment="1">
      <alignment horizontal="justify" vertical="top" wrapText="1"/>
    </xf>
    <xf numFmtId="1" fontId="14" fillId="0" borderId="8"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0" fontId="3" fillId="0" borderId="10" xfId="0" applyFont="1" applyFill="1" applyBorder="1" applyAlignment="1">
      <alignment horizontal="center" vertical="top"/>
    </xf>
    <xf numFmtId="165" fontId="15" fillId="0" borderId="7" xfId="0" applyNumberFormat="1" applyFont="1" applyFill="1" applyBorder="1" applyAlignment="1">
      <alignment horizontal="left" vertical="top"/>
    </xf>
    <xf numFmtId="165" fontId="15" fillId="0" borderId="8" xfId="0" applyNumberFormat="1" applyFont="1" applyFill="1" applyBorder="1" applyAlignment="1">
      <alignment horizontal="left" vertical="top"/>
    </xf>
    <xf numFmtId="165" fontId="15" fillId="0" borderId="9" xfId="0" applyNumberFormat="1" applyFont="1" applyFill="1" applyBorder="1" applyAlignment="1">
      <alignment horizontal="left" vertical="top"/>
    </xf>
    <xf numFmtId="41" fontId="24" fillId="0" borderId="10" xfId="2" applyFont="1" applyFill="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horizontal="center" vertical="top"/>
    </xf>
    <xf numFmtId="0" fontId="14" fillId="0" borderId="9" xfId="0" applyFont="1" applyFill="1" applyBorder="1" applyAlignment="1">
      <alignment horizontal="center" vertical="top"/>
    </xf>
    <xf numFmtId="41" fontId="57" fillId="0" borderId="10" xfId="2" applyFont="1" applyFill="1" applyBorder="1" applyAlignment="1">
      <alignment horizontal="center" vertical="top"/>
    </xf>
    <xf numFmtId="0" fontId="58" fillId="0" borderId="0" xfId="0" applyFont="1" applyFill="1" applyAlignment="1">
      <alignment horizontal="left" vertical="top" wrapText="1"/>
    </xf>
    <xf numFmtId="0" fontId="58" fillId="0" borderId="0" xfId="0" applyFont="1" applyFill="1" applyAlignment="1">
      <alignment horizontal="justify" vertical="top" wrapText="1"/>
    </xf>
    <xf numFmtId="0" fontId="38" fillId="0" borderId="0" xfId="0" quotePrefix="1" applyFont="1" applyFill="1" applyAlignment="1">
      <alignment horizontal="justify" vertical="top" wrapText="1"/>
    </xf>
    <xf numFmtId="0" fontId="15" fillId="0" borderId="7" xfId="0" applyFont="1" applyFill="1" applyBorder="1" applyAlignment="1">
      <alignment horizontal="left" vertical="top"/>
    </xf>
    <xf numFmtId="0" fontId="15" fillId="0" borderId="8" xfId="0" applyFont="1" applyFill="1" applyBorder="1" applyAlignment="1">
      <alignment horizontal="left" vertical="top"/>
    </xf>
    <xf numFmtId="0" fontId="15" fillId="0" borderId="9" xfId="0" applyFont="1" applyFill="1" applyBorder="1" applyAlignment="1">
      <alignment horizontal="left" vertical="top"/>
    </xf>
    <xf numFmtId="0" fontId="8" fillId="0" borderId="11" xfId="0" applyFont="1" applyFill="1" applyBorder="1" applyAlignment="1">
      <alignment horizontal="left" vertical="top" wrapText="1"/>
    </xf>
    <xf numFmtId="165" fontId="23" fillId="0" borderId="10"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5" fillId="0" borderId="10" xfId="0" applyFont="1" applyFill="1" applyBorder="1" applyAlignment="1">
      <alignment horizontal="center" vertical="top"/>
    </xf>
    <xf numFmtId="0" fontId="4" fillId="0" borderId="0" xfId="0" applyFont="1" applyFill="1" applyBorder="1" applyAlignment="1">
      <alignment horizontal="center" vertical="top"/>
    </xf>
    <xf numFmtId="0" fontId="6" fillId="0" borderId="0" xfId="0" applyFont="1" applyFill="1" applyAlignment="1">
      <alignment horizontal="left" vertical="top" wrapText="1"/>
    </xf>
    <xf numFmtId="0" fontId="6" fillId="0" borderId="0" xfId="0" quotePrefix="1" applyFont="1" applyFill="1" applyAlignment="1">
      <alignment horizontal="left" vertical="top" wrapText="1"/>
    </xf>
    <xf numFmtId="0" fontId="24" fillId="0" borderId="10" xfId="0" applyFont="1" applyFill="1" applyBorder="1" applyAlignment="1">
      <alignment horizontal="center" vertical="top"/>
    </xf>
    <xf numFmtId="0" fontId="4" fillId="0" borderId="10" xfId="0" applyFont="1" applyFill="1" applyBorder="1" applyAlignment="1">
      <alignment horizontal="center" vertical="top"/>
    </xf>
    <xf numFmtId="0" fontId="14" fillId="0" borderId="0" xfId="0" applyFont="1" applyFill="1" applyBorder="1" applyAlignment="1">
      <alignment horizontal="center" vertical="top"/>
    </xf>
    <xf numFmtId="0" fontId="14"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5" xfId="0" applyFont="1" applyFill="1" applyBorder="1" applyAlignment="1">
      <alignment horizontal="justify" vertical="top"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wrapText="1"/>
    </xf>
    <xf numFmtId="1" fontId="23" fillId="0" borderId="7" xfId="0" applyNumberFormat="1" applyFont="1" applyFill="1" applyBorder="1" applyAlignment="1">
      <alignment horizontal="center" vertical="center" wrapText="1"/>
    </xf>
    <xf numFmtId="1" fontId="23" fillId="0" borderId="8" xfId="0" applyNumberFormat="1" applyFont="1" applyFill="1" applyBorder="1" applyAlignment="1">
      <alignment horizontal="center" vertical="center" wrapText="1"/>
    </xf>
    <xf numFmtId="1" fontId="23" fillId="0" borderId="9" xfId="0" applyNumberFormat="1"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59" fillId="0" borderId="10" xfId="0" applyFont="1" applyFill="1" applyBorder="1" applyAlignment="1">
      <alignment horizontal="center"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165" fontId="60" fillId="0" borderId="7" xfId="0" applyNumberFormat="1" applyFont="1" applyFill="1" applyBorder="1" applyAlignment="1">
      <alignment horizontal="center" vertical="center" wrapText="1"/>
    </xf>
    <xf numFmtId="165" fontId="60" fillId="0" borderId="8" xfId="0" applyNumberFormat="1"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3" fillId="0" borderId="0" xfId="0" applyFont="1" applyFill="1" applyBorder="1" applyAlignment="1">
      <alignment horizontal="center" vertical="center"/>
    </xf>
    <xf numFmtId="167" fontId="23" fillId="0" borderId="0" xfId="1" applyNumberFormat="1" applyFont="1" applyFill="1" applyBorder="1" applyAlignment="1">
      <alignment horizontal="center" vertical="center" wrapText="1"/>
    </xf>
    <xf numFmtId="167" fontId="14" fillId="0" borderId="0" xfId="1" applyNumberFormat="1" applyFont="1" applyFill="1" applyBorder="1" applyAlignment="1">
      <alignment horizontal="center" vertical="center" wrapText="1"/>
    </xf>
    <xf numFmtId="0" fontId="10" fillId="0" borderId="5" xfId="0" applyFont="1" applyFill="1" applyBorder="1" applyAlignment="1">
      <alignment vertical="top" wrapText="1"/>
    </xf>
    <xf numFmtId="0" fontId="26" fillId="0" borderId="10" xfId="0" applyFont="1" applyFill="1" applyBorder="1" applyAlignment="1">
      <alignment horizontal="center" vertical="center"/>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165" fontId="60" fillId="0" borderId="10" xfId="0" applyNumberFormat="1" applyFont="1" applyFill="1" applyBorder="1" applyAlignment="1">
      <alignment horizontal="center" vertical="center" wrapText="1"/>
    </xf>
    <xf numFmtId="0" fontId="59" fillId="0" borderId="0" xfId="0" applyFont="1" applyFill="1" applyBorder="1" applyAlignment="1">
      <alignment horizontal="center"/>
    </xf>
    <xf numFmtId="0" fontId="21" fillId="0" borderId="0" xfId="0" applyFont="1" applyFill="1" applyBorder="1" applyAlignment="1">
      <alignment horizontal="left" vertical="center"/>
    </xf>
    <xf numFmtId="167" fontId="21" fillId="0" borderId="0" xfId="1"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165" fontId="60" fillId="0" borderId="9" xfId="0" applyNumberFormat="1" applyFont="1" applyFill="1" applyBorder="1" applyAlignment="1">
      <alignment horizontal="center" vertical="center" wrapText="1"/>
    </xf>
    <xf numFmtId="0" fontId="59" fillId="0" borderId="10" xfId="0" applyFont="1" applyFill="1" applyBorder="1" applyAlignment="1">
      <alignment horizontal="center"/>
    </xf>
    <xf numFmtId="165" fontId="23" fillId="0" borderId="9" xfId="0" applyNumberFormat="1" applyFont="1" applyFill="1" applyBorder="1" applyAlignment="1">
      <alignment horizontal="center" vertical="center" wrapText="1"/>
    </xf>
    <xf numFmtId="0" fontId="21" fillId="0" borderId="0" xfId="0" applyFont="1" applyFill="1" applyBorder="1" applyAlignment="1">
      <alignment horizontal="left" vertical="top"/>
    </xf>
    <xf numFmtId="0" fontId="10" fillId="0" borderId="0" xfId="0" quotePrefix="1" applyFont="1" applyFill="1" applyBorder="1" applyAlignment="1">
      <alignment horizontal="justify" vertical="top" wrapText="1"/>
    </xf>
    <xf numFmtId="0" fontId="10" fillId="0" borderId="0" xfId="0" quotePrefix="1" applyFont="1" applyFill="1" applyBorder="1" applyAlignment="1">
      <alignment vertical="top" wrapText="1"/>
    </xf>
    <xf numFmtId="0" fontId="14" fillId="0" borderId="0" xfId="0" quotePrefix="1" applyFont="1" applyFill="1" applyBorder="1" applyAlignment="1">
      <alignment horizontal="center" vertical="top"/>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wrapText="1" readingOrder="1"/>
    </xf>
    <xf numFmtId="0" fontId="62" fillId="0" borderId="0" xfId="0" applyFont="1" applyFill="1" applyBorder="1" applyAlignment="1">
      <alignment horizontal="center" vertical="center" wrapText="1" readingOrder="1"/>
    </xf>
    <xf numFmtId="0" fontId="4" fillId="0" borderId="0" xfId="0" applyFont="1" applyFill="1" applyBorder="1" applyAlignment="1">
      <alignment vertical="top"/>
    </xf>
    <xf numFmtId="164" fontId="15" fillId="0" borderId="0" xfId="2" applyNumberFormat="1" applyFont="1" applyFill="1" applyBorder="1" applyAlignment="1">
      <alignment horizontal="left" vertical="center" wrapText="1"/>
    </xf>
    <xf numFmtId="0" fontId="8" fillId="0" borderId="11" xfId="0" applyFont="1" applyFill="1" applyBorder="1" applyAlignment="1">
      <alignment vertical="top" wrapText="1"/>
    </xf>
    <xf numFmtId="164" fontId="34" fillId="0" borderId="0" xfId="2" applyNumberFormat="1" applyFont="1" applyFill="1" applyBorder="1" applyAlignment="1">
      <alignment horizontal="left" vertical="top" wrapText="1"/>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28" fillId="0" borderId="9" xfId="0" applyFont="1" applyFill="1" applyBorder="1" applyAlignment="1">
      <alignment horizontal="left" vertical="top"/>
    </xf>
    <xf numFmtId="164" fontId="30" fillId="0" borderId="7" xfId="2" applyNumberFormat="1" applyFont="1" applyFill="1" applyBorder="1" applyAlignment="1">
      <alignment horizontal="center" vertical="top" wrapText="1"/>
    </xf>
    <xf numFmtId="164" fontId="30" fillId="0" borderId="8" xfId="2" applyNumberFormat="1" applyFont="1" applyFill="1" applyBorder="1" applyAlignment="1">
      <alignment horizontal="center" vertical="top" wrapText="1"/>
    </xf>
    <xf numFmtId="164" fontId="30" fillId="0" borderId="9" xfId="2" applyNumberFormat="1" applyFont="1" applyFill="1" applyBorder="1" applyAlignment="1">
      <alignment horizontal="center" vertical="top" wrapText="1"/>
    </xf>
    <xf numFmtId="0" fontId="54" fillId="0" borderId="7" xfId="0" applyFont="1" applyFill="1" applyBorder="1" applyAlignment="1">
      <alignment horizontal="center" vertical="top" wrapText="1"/>
    </xf>
    <xf numFmtId="0" fontId="54" fillId="0" borderId="8" xfId="0" applyFont="1" applyFill="1" applyBorder="1" applyAlignment="1">
      <alignment horizontal="center" vertical="top" wrapText="1"/>
    </xf>
    <xf numFmtId="0" fontId="54" fillId="0" borderId="9" xfId="0" applyFont="1" applyFill="1" applyBorder="1" applyAlignment="1">
      <alignment horizontal="center" vertical="top" wrapText="1"/>
    </xf>
    <xf numFmtId="0" fontId="19" fillId="0" borderId="7" xfId="0" applyFont="1" applyFill="1" applyBorder="1" applyAlignment="1">
      <alignment horizontal="left" vertical="top"/>
    </xf>
    <xf numFmtId="0" fontId="19" fillId="0" borderId="8" xfId="0" applyFont="1" applyFill="1" applyBorder="1" applyAlignment="1">
      <alignment horizontal="left" vertical="top"/>
    </xf>
    <xf numFmtId="0" fontId="19" fillId="0" borderId="9" xfId="0" applyFont="1" applyFill="1" applyBorder="1" applyAlignment="1">
      <alignment horizontal="left" vertical="top"/>
    </xf>
    <xf numFmtId="10" fontId="63" fillId="0" borderId="7" xfId="0" applyNumberFormat="1"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9"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8" fillId="0" borderId="7"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wrapText="1"/>
    </xf>
    <xf numFmtId="0" fontId="64" fillId="0" borderId="7"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64" fillId="0" borderId="9" xfId="0" applyFont="1" applyFill="1" applyBorder="1" applyAlignment="1">
      <alignment horizontal="center" vertical="center" wrapText="1"/>
    </xf>
    <xf numFmtId="0" fontId="8" fillId="0" borderId="0" xfId="0" applyFont="1" applyFill="1" applyBorder="1" applyAlignment="1">
      <alignment vertical="top" wrapText="1"/>
    </xf>
    <xf numFmtId="0" fontId="28" fillId="0" borderId="2" xfId="0" applyFont="1" applyFill="1" applyBorder="1" applyAlignment="1">
      <alignment horizontal="center" vertical="top" wrapText="1"/>
    </xf>
    <xf numFmtId="165" fontId="23" fillId="0" borderId="2" xfId="0" applyNumberFormat="1" applyFont="1" applyFill="1" applyBorder="1" applyAlignment="1">
      <alignment horizontal="center" vertical="center" wrapText="1"/>
    </xf>
    <xf numFmtId="0" fontId="64" fillId="0" borderId="2" xfId="0" applyFont="1" applyFill="1" applyBorder="1" applyAlignment="1">
      <alignment horizontal="center" vertical="center" wrapText="1"/>
    </xf>
    <xf numFmtId="0" fontId="10" fillId="0" borderId="0" xfId="0" applyFont="1" applyFill="1" applyBorder="1" applyAlignment="1">
      <alignment horizontal="justify" wrapText="1"/>
    </xf>
    <xf numFmtId="0" fontId="10" fillId="0" borderId="0" xfId="0" applyFont="1" applyFill="1" applyBorder="1" applyAlignment="1">
      <alignment horizontal="justify" wrapText="1"/>
    </xf>
    <xf numFmtId="164" fontId="10" fillId="0" borderId="0" xfId="2" applyNumberFormat="1" applyFont="1" applyFill="1" applyBorder="1" applyAlignment="1">
      <alignment horizontal="center" wrapText="1"/>
    </xf>
    <xf numFmtId="0" fontId="10" fillId="0" borderId="0" xfId="0" applyFont="1" applyFill="1" applyBorder="1" applyAlignment="1">
      <alignment horizontal="justify" vertical="center" wrapText="1"/>
    </xf>
    <xf numFmtId="164" fontId="10" fillId="0" borderId="0" xfId="2" applyNumberFormat="1" applyFont="1" applyFill="1" applyBorder="1" applyAlignment="1">
      <alignment horizontal="center" wrapText="1"/>
    </xf>
    <xf numFmtId="0" fontId="6" fillId="0" borderId="0" xfId="0" applyFont="1" applyFill="1" applyAlignment="1">
      <alignment horizontal="left" wrapText="1"/>
    </xf>
    <xf numFmtId="0" fontId="10" fillId="0" borderId="0" xfId="0" applyFont="1" applyFill="1" applyAlignment="1">
      <alignment horizontal="center" vertical="top"/>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43" fontId="10" fillId="0" borderId="1" xfId="1" applyFont="1" applyFill="1" applyBorder="1" applyAlignment="1">
      <alignment horizontal="left" vertical="top" wrapText="1"/>
    </xf>
    <xf numFmtId="43" fontId="10" fillId="0" borderId="2" xfId="1" applyFont="1" applyFill="1" applyBorder="1" applyAlignment="1">
      <alignment horizontal="left" vertical="top" wrapText="1"/>
    </xf>
    <xf numFmtId="0" fontId="10" fillId="0" borderId="10" xfId="1" applyNumberFormat="1" applyFont="1" applyFill="1" applyBorder="1" applyAlignment="1">
      <alignment horizontal="left" vertical="top" wrapText="1"/>
    </xf>
    <xf numFmtId="43" fontId="10" fillId="0" borderId="10" xfId="1" applyFont="1" applyFill="1" applyBorder="1" applyAlignment="1">
      <alignment horizontal="left" vertical="top" wrapText="1"/>
    </xf>
    <xf numFmtId="0" fontId="10" fillId="0" borderId="7" xfId="0" applyFont="1" applyFill="1" applyBorder="1" applyAlignment="1">
      <alignment vertical="top"/>
    </xf>
    <xf numFmtId="0" fontId="0" fillId="0" borderId="8" xfId="0" applyFill="1" applyBorder="1"/>
    <xf numFmtId="0" fontId="0" fillId="0" borderId="9" xfId="0" applyFill="1" applyBorder="1"/>
    <xf numFmtId="167" fontId="10" fillId="0" borderId="10" xfId="1" applyNumberFormat="1" applyFont="1" applyFill="1" applyBorder="1" applyAlignment="1">
      <alignment horizontal="left" vertical="top"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167" fontId="10" fillId="0" borderId="10" xfId="1" applyNumberFormat="1" applyFont="1" applyFill="1" applyBorder="1" applyAlignment="1">
      <alignment horizontal="left" vertical="center" wrapText="1"/>
    </xf>
    <xf numFmtId="43" fontId="10" fillId="0" borderId="10" xfId="1" applyNumberFormat="1" applyFont="1" applyFill="1" applyBorder="1" applyAlignment="1">
      <alignment horizontal="left" vertical="center" wrapText="1"/>
    </xf>
    <xf numFmtId="41" fontId="17" fillId="0" borderId="7" xfId="2" applyNumberFormat="1" applyFont="1" applyFill="1" applyBorder="1" applyAlignment="1">
      <alignment horizontal="center" vertical="center" wrapText="1"/>
    </xf>
    <xf numFmtId="41" fontId="0" fillId="0" borderId="8" xfId="0" applyNumberFormat="1" applyFill="1" applyBorder="1"/>
    <xf numFmtId="41" fontId="0" fillId="0" borderId="9" xfId="0" applyNumberFormat="1" applyFill="1" applyBorder="1"/>
    <xf numFmtId="0" fontId="14" fillId="0" borderId="0" xfId="0" applyFont="1" applyFill="1" applyBorder="1" applyAlignment="1">
      <alignment horizontal="justify" vertical="top" wrapText="1"/>
    </xf>
    <xf numFmtId="0" fontId="60" fillId="0" borderId="7" xfId="0" applyFont="1" applyFill="1" applyBorder="1" applyAlignment="1">
      <alignment horizontal="left" vertical="center" wrapText="1"/>
    </xf>
    <xf numFmtId="0" fontId="60" fillId="0" borderId="8"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65" fillId="0" borderId="10" xfId="0" applyFont="1" applyFill="1" applyBorder="1" applyAlignment="1">
      <alignment horizontal="center"/>
    </xf>
    <xf numFmtId="164" fontId="49" fillId="0" borderId="0" xfId="2" applyNumberFormat="1" applyFont="1" applyFill="1" applyBorder="1" applyAlignment="1">
      <alignment horizontal="center" vertical="center" wrapText="1"/>
    </xf>
    <xf numFmtId="0" fontId="25" fillId="0" borderId="0" xfId="0" quotePrefix="1" applyFont="1" applyFill="1" applyBorder="1" applyAlignment="1">
      <alignment horizontal="left" vertical="top" wrapText="1"/>
    </xf>
    <xf numFmtId="0" fontId="66" fillId="0" borderId="7" xfId="0" applyFont="1" applyFill="1" applyBorder="1" applyAlignment="1">
      <alignment horizontal="left" vertical="center" wrapText="1"/>
    </xf>
    <xf numFmtId="0" fontId="66" fillId="0" borderId="8" xfId="0" applyFont="1" applyFill="1" applyBorder="1" applyAlignment="1">
      <alignment horizontal="left" vertical="center" wrapText="1"/>
    </xf>
    <xf numFmtId="0" fontId="66" fillId="0" borderId="9" xfId="0" applyFont="1" applyFill="1" applyBorder="1" applyAlignment="1">
      <alignment horizontal="left" vertical="center" wrapText="1"/>
    </xf>
    <xf numFmtId="165" fontId="67" fillId="0" borderId="7" xfId="0" applyNumberFormat="1" applyFont="1" applyFill="1" applyBorder="1" applyAlignment="1">
      <alignment horizontal="center" vertical="center" wrapText="1"/>
    </xf>
    <xf numFmtId="165" fontId="67" fillId="0" borderId="8" xfId="0" applyNumberFormat="1" applyFont="1" applyFill="1" applyBorder="1" applyAlignment="1">
      <alignment horizontal="center" vertical="center" wrapText="1"/>
    </xf>
    <xf numFmtId="165" fontId="67" fillId="0" borderId="9" xfId="0" applyNumberFormat="1" applyFont="1" applyFill="1" applyBorder="1" applyAlignment="1">
      <alignment horizontal="center" vertical="center" wrapText="1"/>
    </xf>
    <xf numFmtId="165" fontId="68" fillId="0" borderId="7" xfId="0" applyNumberFormat="1" applyFont="1" applyFill="1" applyBorder="1" applyAlignment="1">
      <alignment horizontal="center" vertical="center" wrapText="1"/>
    </xf>
    <xf numFmtId="165" fontId="68" fillId="0" borderId="8" xfId="0" applyNumberFormat="1" applyFont="1" applyFill="1" applyBorder="1" applyAlignment="1">
      <alignment horizontal="center" vertical="center" wrapText="1"/>
    </xf>
    <xf numFmtId="165" fontId="25"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165" fontId="69" fillId="0" borderId="7" xfId="0" applyNumberFormat="1" applyFont="1" applyFill="1" applyBorder="1" applyAlignment="1">
      <alignment horizontal="center" vertical="center" wrapText="1"/>
    </xf>
    <xf numFmtId="165" fontId="69" fillId="0" borderId="8" xfId="0" applyNumberFormat="1" applyFont="1" applyFill="1" applyBorder="1" applyAlignment="1">
      <alignment horizontal="center" vertical="center" wrapText="1"/>
    </xf>
    <xf numFmtId="165" fontId="43" fillId="0" borderId="7" xfId="0" applyNumberFormat="1" applyFont="1" applyFill="1" applyBorder="1" applyAlignment="1">
      <alignment horizontal="center" vertical="center" wrapText="1"/>
    </xf>
    <xf numFmtId="165" fontId="43" fillId="0" borderId="8" xfId="0" applyNumberFormat="1" applyFont="1" applyFill="1" applyBorder="1" applyAlignment="1">
      <alignment horizontal="center" vertical="center" wrapText="1"/>
    </xf>
    <xf numFmtId="165" fontId="69" fillId="0" borderId="9" xfId="0" applyNumberFormat="1" applyFont="1" applyFill="1" applyBorder="1" applyAlignment="1">
      <alignment horizontal="center" vertical="center" wrapText="1"/>
    </xf>
    <xf numFmtId="0" fontId="14" fillId="0" borderId="0" xfId="0" applyFont="1" applyFill="1" applyAlignment="1">
      <alignment horizontal="left" vertical="top" wrapText="1"/>
    </xf>
    <xf numFmtId="43" fontId="5" fillId="0" borderId="10" xfId="2" applyNumberFormat="1" applyFont="1" applyFill="1" applyBorder="1"/>
    <xf numFmtId="0" fontId="70" fillId="0" borderId="10" xfId="0" applyFont="1" applyFill="1" applyBorder="1" applyAlignment="1">
      <alignment horizontal="center" vertical="center"/>
    </xf>
    <xf numFmtId="0" fontId="48" fillId="0" borderId="7"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8" fillId="0" borderId="9" xfId="0" applyFont="1" applyFill="1" applyBorder="1" applyAlignment="1">
      <alignment horizontal="left" vertical="center" wrapText="1"/>
    </xf>
    <xf numFmtId="165" fontId="5" fillId="0" borderId="7"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0" fontId="6" fillId="0" borderId="0" xfId="0" applyFont="1" applyFill="1" applyAlignment="1">
      <alignment vertical="center"/>
    </xf>
    <xf numFmtId="0" fontId="7" fillId="0" borderId="0" xfId="0" applyFont="1" applyFill="1" applyAlignment="1">
      <alignment horizontal="left" vertical="top" wrapText="1"/>
    </xf>
    <xf numFmtId="0" fontId="7" fillId="0" borderId="0" xfId="0" applyFont="1" applyFill="1" applyAlignment="1">
      <alignment horizontal="justify" vertical="center" wrapText="1"/>
    </xf>
    <xf numFmtId="0" fontId="14" fillId="0" borderId="7" xfId="0" quotePrefix="1" applyFont="1" applyFill="1" applyBorder="1" applyAlignment="1">
      <alignment horizontal="center" vertical="center" wrapText="1"/>
    </xf>
    <xf numFmtId="0" fontId="14" fillId="0" borderId="8" xfId="0" quotePrefix="1" applyFont="1" applyFill="1" applyBorder="1" applyAlignment="1">
      <alignment horizontal="center" vertical="center" wrapText="1"/>
    </xf>
    <xf numFmtId="0" fontId="14" fillId="0" borderId="9" xfId="0" quotePrefix="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164" fontId="44" fillId="0" borderId="7" xfId="2" applyNumberFormat="1" applyFont="1" applyFill="1" applyBorder="1" applyAlignment="1">
      <alignment horizontal="center" vertical="center" wrapText="1"/>
    </xf>
    <xf numFmtId="164" fontId="44" fillId="0" borderId="8" xfId="2" applyNumberFormat="1" applyFont="1" applyFill="1" applyBorder="1" applyAlignment="1">
      <alignment horizontal="center" vertical="center" wrapText="1"/>
    </xf>
    <xf numFmtId="164" fontId="44" fillId="0" borderId="9" xfId="2" applyNumberFormat="1" applyFont="1" applyFill="1" applyBorder="1" applyAlignment="1">
      <alignment horizontal="center" vertical="center" wrapText="1"/>
    </xf>
    <xf numFmtId="164" fontId="52" fillId="0" borderId="7" xfId="2" applyNumberFormat="1" applyFont="1" applyFill="1" applyBorder="1" applyAlignment="1">
      <alignment horizontal="center" vertical="center" wrapText="1"/>
    </xf>
    <xf numFmtId="164" fontId="52" fillId="0" borderId="8" xfId="2" applyNumberFormat="1" applyFont="1" applyFill="1" applyBorder="1" applyAlignment="1">
      <alignment horizontal="center" vertical="center" wrapText="1"/>
    </xf>
    <xf numFmtId="164" fontId="52" fillId="0" borderId="9" xfId="2" applyNumberFormat="1" applyFont="1" applyFill="1" applyBorder="1" applyAlignment="1">
      <alignment horizontal="center" vertical="center" wrapText="1"/>
    </xf>
    <xf numFmtId="164" fontId="28" fillId="0" borderId="0" xfId="2" applyNumberFormat="1" applyFont="1" applyFill="1" applyBorder="1" applyAlignment="1">
      <alignment horizontal="center" vertical="center" wrapText="1"/>
    </xf>
    <xf numFmtId="0" fontId="71" fillId="0" borderId="0" xfId="0" applyFont="1" applyFill="1" applyAlignment="1">
      <alignment horizontal="center" vertical="top" wrapText="1"/>
    </xf>
    <xf numFmtId="0" fontId="71" fillId="0" borderId="0" xfId="0" applyFont="1" applyFill="1" applyAlignment="1">
      <alignment horizontal="left" vertical="top" wrapText="1"/>
    </xf>
    <xf numFmtId="0" fontId="33" fillId="0" borderId="12"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1" fontId="33" fillId="0" borderId="10"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3" xfId="0" applyFont="1" applyFill="1" applyBorder="1" applyAlignment="1">
      <alignment horizontal="center" vertical="center"/>
    </xf>
    <xf numFmtId="0" fontId="33" fillId="0" borderId="7" xfId="0" quotePrefix="1" applyNumberFormat="1" applyFont="1" applyFill="1" applyBorder="1" applyAlignment="1">
      <alignment horizontal="center" vertical="center" wrapText="1"/>
    </xf>
    <xf numFmtId="0" fontId="33" fillId="0" borderId="8" xfId="0" quotePrefix="1" applyNumberFormat="1" applyFont="1" applyFill="1" applyBorder="1" applyAlignment="1">
      <alignment horizontal="center" vertical="center" wrapText="1"/>
    </xf>
    <xf numFmtId="0" fontId="33" fillId="0" borderId="9" xfId="0" quotePrefix="1" applyNumberFormat="1" applyFont="1" applyFill="1" applyBorder="1" applyAlignment="1">
      <alignment horizontal="center" vertical="center" wrapText="1"/>
    </xf>
    <xf numFmtId="41" fontId="33" fillId="0" borderId="10" xfId="0" applyNumberFormat="1" applyFont="1" applyFill="1" applyBorder="1" applyAlignment="1">
      <alignment horizontal="center" vertical="center" wrapText="1"/>
    </xf>
    <xf numFmtId="0" fontId="33" fillId="0" borderId="10" xfId="0" quotePrefix="1"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165" fontId="72" fillId="0" borderId="7" xfId="0" applyNumberFormat="1" applyFont="1" applyFill="1" applyBorder="1" applyAlignment="1">
      <alignment horizontal="center" vertical="center" wrapText="1"/>
    </xf>
    <xf numFmtId="165" fontId="72" fillId="0" borderId="8" xfId="0" applyNumberFormat="1" applyFont="1" applyFill="1" applyBorder="1" applyAlignment="1">
      <alignment horizontal="center" vertical="center" wrapText="1"/>
    </xf>
    <xf numFmtId="165" fontId="72" fillId="0" borderId="9" xfId="0" applyNumberFormat="1" applyFont="1" applyFill="1" applyBorder="1" applyAlignment="1">
      <alignment horizontal="center" vertical="center" wrapText="1"/>
    </xf>
    <xf numFmtId="165" fontId="73" fillId="0" borderId="7" xfId="0" applyNumberFormat="1" applyFont="1" applyFill="1" applyBorder="1" applyAlignment="1">
      <alignment horizontal="center" vertical="center" wrapText="1"/>
    </xf>
    <xf numFmtId="165" fontId="73" fillId="0" borderId="8" xfId="0" applyNumberFormat="1" applyFont="1" applyFill="1" applyBorder="1" applyAlignment="1">
      <alignment horizontal="center" vertical="center" wrapText="1"/>
    </xf>
    <xf numFmtId="165" fontId="73"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2" xfId="0" applyFont="1" applyFill="1" applyBorder="1" applyAlignment="1">
      <alignment horizontal="justify" vertical="top" wrapText="1"/>
    </xf>
    <xf numFmtId="0" fontId="7" fillId="0" borderId="2" xfId="0" applyFont="1" applyFill="1" applyBorder="1" applyAlignment="1">
      <alignment vertical="top" wrapText="1"/>
    </xf>
    <xf numFmtId="0" fontId="15" fillId="0" borderId="0" xfId="0" quotePrefix="1" applyFont="1" applyFill="1" applyBorder="1" applyAlignment="1">
      <alignment horizontal="left" vertical="top" wrapText="1"/>
    </xf>
    <xf numFmtId="0" fontId="74" fillId="0" borderId="0" xfId="0" applyFont="1" applyFill="1" applyAlignment="1">
      <alignment horizontal="center" vertical="top" wrapText="1"/>
    </xf>
    <xf numFmtId="0" fontId="15" fillId="0" borderId="0" xfId="0" applyFont="1" applyFill="1" applyBorder="1" applyAlignment="1">
      <alignment vertical="top" wrapText="1"/>
    </xf>
    <xf numFmtId="0" fontId="14" fillId="0" borderId="7" xfId="0" applyFont="1" applyFill="1" applyBorder="1" applyAlignment="1">
      <alignment vertical="top" wrapText="1"/>
    </xf>
    <xf numFmtId="0" fontId="19" fillId="0" borderId="7" xfId="0" applyFont="1" applyFill="1" applyBorder="1" applyAlignment="1">
      <alignment horizontal="center" vertical="center" wrapText="1"/>
    </xf>
    <xf numFmtId="41" fontId="26" fillId="0" borderId="14" xfId="0" applyNumberFormat="1" applyFont="1" applyFill="1" applyBorder="1" applyAlignment="1">
      <alignment vertical="center" wrapText="1"/>
    </xf>
    <xf numFmtId="41" fontId="26" fillId="0" borderId="0" xfId="0" applyNumberFormat="1" applyFont="1" applyFill="1" applyBorder="1" applyAlignment="1">
      <alignment vertical="center" wrapText="1"/>
    </xf>
    <xf numFmtId="41" fontId="26" fillId="0" borderId="11" xfId="0" applyNumberFormat="1" applyFont="1" applyFill="1" applyBorder="1" applyAlignment="1">
      <alignment vertical="center" wrapText="1"/>
    </xf>
    <xf numFmtId="164" fontId="26" fillId="0" borderId="7" xfId="2" applyNumberFormat="1" applyFont="1" applyFill="1" applyBorder="1" applyAlignment="1">
      <alignment horizontal="center" vertical="center" wrapText="1"/>
    </xf>
    <xf numFmtId="164" fontId="26" fillId="0" borderId="8" xfId="2" applyNumberFormat="1" applyFont="1" applyFill="1" applyBorder="1" applyAlignment="1">
      <alignment horizontal="center" vertical="center" wrapText="1"/>
    </xf>
    <xf numFmtId="164" fontId="26" fillId="0" borderId="9" xfId="2" applyNumberFormat="1" applyFont="1" applyFill="1" applyBorder="1" applyAlignment="1">
      <alignment horizontal="center" vertical="center" wrapText="1"/>
    </xf>
    <xf numFmtId="164" fontId="33" fillId="0" borderId="7" xfId="2" applyNumberFormat="1" applyFont="1" applyFill="1" applyBorder="1" applyAlignment="1">
      <alignment horizontal="center" vertical="center" wrapText="1"/>
    </xf>
    <xf numFmtId="164" fontId="33" fillId="0" borderId="8" xfId="2" applyNumberFormat="1" applyFont="1" applyFill="1" applyBorder="1" applyAlignment="1">
      <alignment horizontal="center" vertical="center" wrapText="1"/>
    </xf>
    <xf numFmtId="164" fontId="33" fillId="0" borderId="9" xfId="2" applyNumberFormat="1" applyFont="1" applyFill="1" applyBorder="1" applyAlignment="1">
      <alignment horizontal="center" vertical="center" wrapText="1"/>
    </xf>
    <xf numFmtId="0" fontId="10" fillId="0" borderId="2" xfId="0" applyFont="1" applyFill="1" applyBorder="1" applyAlignment="1">
      <alignment horizontal="justify" vertical="top" wrapText="1"/>
    </xf>
    <xf numFmtId="0" fontId="6" fillId="0" borderId="0" xfId="0" applyFont="1" applyFill="1" applyBorder="1" applyAlignment="1">
      <alignment horizontal="left" vertical="top" wrapText="1"/>
    </xf>
    <xf numFmtId="41" fontId="5" fillId="0" borderId="0" xfId="2" applyFont="1" applyFill="1" applyAlignment="1">
      <alignment vertical="top"/>
    </xf>
    <xf numFmtId="164" fontId="17" fillId="0" borderId="1" xfId="2" applyNumberFormat="1" applyFont="1" applyFill="1" applyBorder="1" applyAlignment="1">
      <alignment horizontal="center" vertical="center" wrapText="1"/>
    </xf>
    <xf numFmtId="165" fontId="25" fillId="0" borderId="1" xfId="0" applyNumberFormat="1" applyFont="1" applyFill="1" applyBorder="1" applyAlignment="1">
      <alignment horizontal="left" vertical="top" wrapText="1"/>
    </xf>
    <xf numFmtId="164" fontId="17" fillId="0" borderId="2" xfId="2" applyNumberFormat="1" applyFont="1" applyFill="1" applyBorder="1" applyAlignment="1">
      <alignment horizontal="center" vertical="center" wrapText="1"/>
    </xf>
    <xf numFmtId="165" fontId="75" fillId="0" borderId="2" xfId="0" applyNumberFormat="1" applyFont="1" applyFill="1" applyBorder="1" applyAlignment="1">
      <alignment horizontal="left" vertical="top" wrapText="1"/>
    </xf>
    <xf numFmtId="0" fontId="76" fillId="0" borderId="2" xfId="0" applyFont="1" applyFill="1" applyBorder="1"/>
    <xf numFmtId="0" fontId="8" fillId="0" borderId="10" xfId="0" applyFont="1" applyFill="1" applyBorder="1" applyAlignment="1">
      <alignment horizontal="center" vertical="top" wrapText="1"/>
    </xf>
    <xf numFmtId="0" fontId="7" fillId="0" borderId="2" xfId="0" applyFont="1" applyFill="1" applyBorder="1" applyAlignment="1">
      <alignment horizontal="justify" vertical="top" wrapText="1"/>
    </xf>
    <xf numFmtId="0" fontId="8" fillId="0" borderId="0" xfId="0" quotePrefix="1" applyFont="1" applyFill="1" applyAlignment="1">
      <alignment horizontal="center" vertical="top" wrapText="1"/>
    </xf>
    <xf numFmtId="0" fontId="7" fillId="0" borderId="0" xfId="0" quotePrefix="1" applyFont="1" applyFill="1" applyBorder="1" applyAlignment="1">
      <alignment horizontal="right" vertical="top" wrapText="1"/>
    </xf>
    <xf numFmtId="0" fontId="7" fillId="0" borderId="0" xfId="0" applyFont="1" applyFill="1" applyBorder="1" applyAlignment="1">
      <alignment horizontal="left" vertical="top" wrapText="1"/>
    </xf>
    <xf numFmtId="0" fontId="33" fillId="0" borderId="7" xfId="2" quotePrefix="1" applyNumberFormat="1" applyFont="1" applyFill="1" applyBorder="1" applyAlignment="1">
      <alignment horizontal="center" vertical="center" wrapText="1"/>
    </xf>
    <xf numFmtId="0" fontId="33" fillId="0" borderId="8" xfId="2" quotePrefix="1" applyNumberFormat="1" applyFont="1" applyFill="1" applyBorder="1" applyAlignment="1">
      <alignment horizontal="center" vertical="center" wrapText="1"/>
    </xf>
    <xf numFmtId="0" fontId="33" fillId="0" borderId="9" xfId="2" quotePrefix="1" applyNumberFormat="1" applyFont="1" applyFill="1" applyBorder="1" applyAlignment="1">
      <alignment horizontal="center" vertical="center" wrapText="1"/>
    </xf>
    <xf numFmtId="165" fontId="77" fillId="0" borderId="7" xfId="0" applyNumberFormat="1" applyFont="1" applyFill="1" applyBorder="1" applyAlignment="1">
      <alignment horizontal="center" vertical="center" wrapText="1"/>
    </xf>
    <xf numFmtId="165" fontId="77" fillId="0" borderId="8" xfId="0" applyNumberFormat="1" applyFont="1" applyFill="1" applyBorder="1" applyAlignment="1">
      <alignment horizontal="center" vertical="center" wrapText="1"/>
    </xf>
    <xf numFmtId="165" fontId="77" fillId="0" borderId="9"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79" fillId="0" borderId="0" xfId="3" applyFont="1" applyBorder="1"/>
    <xf numFmtId="41" fontId="26" fillId="0" borderId="0" xfId="0" applyNumberFormat="1" applyFont="1" applyFill="1" applyBorder="1" applyAlignment="1">
      <alignment horizontal="center" vertical="center" wrapText="1"/>
    </xf>
    <xf numFmtId="41" fontId="5" fillId="0" borderId="0" xfId="0" applyNumberFormat="1" applyFont="1" applyFill="1" applyAlignment="1">
      <alignment vertical="top"/>
    </xf>
    <xf numFmtId="1" fontId="23" fillId="0" borderId="10" xfId="0" applyNumberFormat="1" applyFont="1" applyFill="1" applyBorder="1" applyAlignment="1">
      <alignment horizontal="center" vertical="center" wrapText="1"/>
    </xf>
    <xf numFmtId="0" fontId="23" fillId="0" borderId="7" xfId="0" quotePrefix="1" applyNumberFormat="1" applyFont="1" applyFill="1" applyBorder="1" applyAlignment="1">
      <alignment horizontal="center" vertical="center" wrapText="1"/>
    </xf>
    <xf numFmtId="0" fontId="23" fillId="0" borderId="8" xfId="0" quotePrefix="1" applyNumberFormat="1" applyFont="1" applyFill="1" applyBorder="1" applyAlignment="1">
      <alignment horizontal="center" vertical="center" wrapText="1"/>
    </xf>
    <xf numFmtId="0" fontId="23" fillId="0" borderId="9" xfId="0" quotePrefix="1" applyNumberFormat="1" applyFont="1" applyFill="1" applyBorder="1" applyAlignment="1">
      <alignment horizontal="center" vertical="center" wrapText="1"/>
    </xf>
    <xf numFmtId="41" fontId="23" fillId="0" borderId="10" xfId="0" applyNumberFormat="1" applyFont="1" applyFill="1" applyBorder="1" applyAlignment="1">
      <alignment horizontal="center" vertical="center" wrapText="1"/>
    </xf>
    <xf numFmtId="0" fontId="33" fillId="0" borderId="8" xfId="2" applyNumberFormat="1" applyFont="1" applyFill="1" applyBorder="1" applyAlignment="1">
      <alignment horizontal="center" vertical="center" wrapText="1"/>
    </xf>
    <xf numFmtId="0" fontId="33" fillId="0" borderId="9" xfId="2"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7" fontId="80" fillId="3" borderId="15" xfId="0" applyNumberFormat="1" applyFont="1" applyFill="1" applyBorder="1" applyAlignment="1">
      <alignment horizontal="center" vertical="center" wrapText="1"/>
    </xf>
    <xf numFmtId="41" fontId="10" fillId="0" borderId="0" xfId="0" quotePrefix="1" applyNumberFormat="1" applyFont="1" applyFill="1" applyBorder="1" applyAlignment="1">
      <alignment horizontal="center" vertical="center" wrapText="1"/>
    </xf>
    <xf numFmtId="0" fontId="0" fillId="0" borderId="0" xfId="0" applyAlignment="1">
      <alignment vertical="top"/>
    </xf>
    <xf numFmtId="165" fontId="47" fillId="0" borderId="0" xfId="0" applyNumberFormat="1" applyFont="1" applyFill="1" applyBorder="1" applyAlignment="1">
      <alignment horizontal="center" vertical="top" wrapText="1"/>
    </xf>
    <xf numFmtId="0" fontId="4" fillId="0" borderId="0" xfId="0" applyFont="1" applyFill="1" applyBorder="1" applyAlignment="1">
      <alignment horizontal="center"/>
    </xf>
    <xf numFmtId="165" fontId="81" fillId="0" borderId="7" xfId="0" applyNumberFormat="1" applyFont="1" applyFill="1" applyBorder="1" applyAlignment="1">
      <alignment horizontal="center" vertical="center" wrapText="1"/>
    </xf>
    <xf numFmtId="165" fontId="81" fillId="0" borderId="8" xfId="0" applyNumberFormat="1" applyFont="1" applyFill="1" applyBorder="1" applyAlignment="1">
      <alignment horizontal="center" vertical="center" wrapText="1"/>
    </xf>
    <xf numFmtId="165" fontId="81" fillId="0" borderId="9" xfId="0" applyNumberFormat="1" applyFont="1" applyFill="1" applyBorder="1" applyAlignment="1">
      <alignment horizontal="center" vertical="center" wrapText="1"/>
    </xf>
    <xf numFmtId="41" fontId="82" fillId="0" borderId="0" xfId="2" applyFont="1" applyBorder="1" applyAlignment="1">
      <alignment vertical="top" wrapText="1"/>
    </xf>
    <xf numFmtId="0" fontId="82" fillId="0" borderId="0" xfId="0" applyFont="1" applyBorder="1" applyAlignment="1">
      <alignment vertical="top"/>
    </xf>
    <xf numFmtId="164" fontId="49" fillId="0" borderId="10" xfId="2" applyNumberFormat="1" applyFont="1" applyFill="1" applyBorder="1" applyAlignment="1">
      <alignment horizontal="center" vertical="center" wrapText="1"/>
    </xf>
    <xf numFmtId="0" fontId="0" fillId="0" borderId="10" xfId="0" applyFill="1" applyBorder="1"/>
    <xf numFmtId="0" fontId="25" fillId="0" borderId="9" xfId="0" applyFont="1" applyFill="1" applyBorder="1" applyAlignment="1">
      <alignment horizontal="center" vertical="center" wrapText="1"/>
    </xf>
    <xf numFmtId="41" fontId="83" fillId="0" borderId="0" xfId="2" applyFont="1" applyFill="1" applyBorder="1" applyAlignment="1">
      <alignment vertical="top" wrapText="1"/>
    </xf>
    <xf numFmtId="164" fontId="17" fillId="0" borderId="10" xfId="2" applyNumberFormat="1" applyFont="1" applyFill="1" applyBorder="1" applyAlignment="1">
      <alignment horizontal="center" vertical="center" wrapText="1"/>
    </xf>
    <xf numFmtId="165" fontId="8" fillId="0" borderId="0" xfId="0" applyNumberFormat="1" applyFont="1" applyFill="1" applyBorder="1" applyAlignment="1">
      <alignment horizontal="center" vertical="top" wrapText="1"/>
    </xf>
    <xf numFmtId="0" fontId="8" fillId="3" borderId="0" xfId="0" applyFont="1" applyFill="1" applyAlignment="1">
      <alignment horizontal="center" vertical="top" wrapText="1"/>
    </xf>
    <xf numFmtId="0" fontId="7" fillId="3" borderId="0" xfId="0" quotePrefix="1" applyFont="1" applyFill="1" applyBorder="1" applyAlignment="1">
      <alignment horizontal="right" vertical="top" wrapText="1"/>
    </xf>
    <xf numFmtId="0" fontId="7" fillId="3" borderId="0" xfId="0" applyFont="1" applyFill="1" applyBorder="1" applyAlignment="1">
      <alignment horizontal="left" vertical="top" wrapText="1"/>
    </xf>
    <xf numFmtId="41" fontId="33" fillId="0" borderId="10" xfId="0" quotePrefix="1" applyNumberFormat="1" applyFont="1" applyFill="1" applyBorder="1" applyAlignment="1">
      <alignment horizontal="center" vertical="center" wrapText="1"/>
    </xf>
    <xf numFmtId="41" fontId="10" fillId="0" borderId="0" xfId="0" applyNumberFormat="1" applyFont="1" applyFill="1" applyBorder="1" applyAlignment="1">
      <alignment vertical="top" wrapText="1"/>
    </xf>
    <xf numFmtId="0" fontId="7" fillId="0" borderId="0" xfId="0" applyFont="1" applyFill="1" applyBorder="1" applyAlignment="1">
      <alignment horizontal="right" vertical="top" wrapText="1"/>
    </xf>
    <xf numFmtId="0" fontId="10" fillId="0" borderId="5" xfId="0" applyFont="1" applyFill="1" applyBorder="1" applyAlignment="1">
      <alignment horizontal="justify"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41" fontId="26" fillId="3" borderId="7" xfId="2" applyNumberFormat="1" applyFont="1" applyFill="1" applyBorder="1" applyAlignment="1">
      <alignment horizontal="center" vertical="center" wrapText="1"/>
    </xf>
    <xf numFmtId="41" fontId="26" fillId="3" borderId="8" xfId="2" applyNumberFormat="1" applyFont="1" applyFill="1" applyBorder="1" applyAlignment="1">
      <alignment horizontal="center" vertical="center" wrapText="1"/>
    </xf>
    <xf numFmtId="41" fontId="26" fillId="3" borderId="9" xfId="2" applyNumberFormat="1" applyFont="1" applyFill="1" applyBorder="1" applyAlignment="1">
      <alignment horizontal="center" vertical="center" wrapText="1"/>
    </xf>
    <xf numFmtId="0" fontId="84" fillId="0" borderId="7" xfId="0" applyFont="1" applyFill="1" applyBorder="1" applyAlignment="1">
      <alignment horizontal="left" vertical="center" wrapText="1"/>
    </xf>
    <xf numFmtId="0" fontId="84" fillId="0" borderId="8" xfId="0" applyFont="1" applyFill="1" applyBorder="1" applyAlignment="1">
      <alignment horizontal="left" vertical="center" wrapText="1"/>
    </xf>
    <xf numFmtId="0" fontId="84" fillId="0" borderId="9" xfId="0" applyFont="1" applyFill="1" applyBorder="1" applyAlignment="1">
      <alignment horizontal="left" vertical="center" wrapText="1"/>
    </xf>
    <xf numFmtId="0" fontId="85" fillId="0" borderId="14" xfId="0" applyFont="1" applyFill="1" applyBorder="1" applyAlignment="1">
      <alignment horizontal="center" vertical="top"/>
    </xf>
    <xf numFmtId="0" fontId="85" fillId="0" borderId="0" xfId="0" applyFont="1" applyFill="1" applyBorder="1" applyAlignment="1">
      <alignment horizontal="center" vertical="top"/>
    </xf>
    <xf numFmtId="41" fontId="33" fillId="0" borderId="7" xfId="2" applyNumberFormat="1" applyFont="1" applyFill="1" applyBorder="1" applyAlignment="1">
      <alignment horizontal="center" vertical="center" wrapText="1"/>
    </xf>
    <xf numFmtId="41" fontId="33" fillId="0" borderId="8" xfId="2" applyNumberFormat="1" applyFont="1" applyFill="1" applyBorder="1" applyAlignment="1">
      <alignment horizontal="center" vertical="center" wrapText="1"/>
    </xf>
    <xf numFmtId="41" fontId="33" fillId="0" borderId="9" xfId="2" applyNumberFormat="1" applyFont="1" applyFill="1" applyBorder="1" applyAlignment="1">
      <alignment horizontal="center" vertical="center" wrapText="1"/>
    </xf>
    <xf numFmtId="168" fontId="8" fillId="0" borderId="0"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71" fillId="0" borderId="0" xfId="0" applyFont="1" applyFill="1" applyAlignment="1">
      <alignment horizontal="center" vertical="top"/>
    </xf>
    <xf numFmtId="0" fontId="8" fillId="0" borderId="0" xfId="0" applyFont="1" applyFill="1" applyBorder="1" applyAlignment="1">
      <alignment horizontal="left" vertical="top" wrapText="1"/>
    </xf>
    <xf numFmtId="0" fontId="23" fillId="0" borderId="7" xfId="2" applyNumberFormat="1" applyFont="1" applyFill="1" applyBorder="1" applyAlignment="1">
      <alignment horizontal="center" vertical="center" wrapText="1"/>
    </xf>
    <xf numFmtId="0" fontId="23" fillId="0" borderId="8" xfId="2" applyNumberFormat="1" applyFont="1" applyFill="1" applyBorder="1" applyAlignment="1">
      <alignment horizontal="center" vertical="center" wrapText="1"/>
    </xf>
    <xf numFmtId="0" fontId="23" fillId="0" borderId="9" xfId="2" applyNumberFormat="1" applyFont="1" applyFill="1" applyBorder="1" applyAlignment="1">
      <alignment horizontal="center" vertical="center" wrapText="1"/>
    </xf>
    <xf numFmtId="41" fontId="30" fillId="0" borderId="7" xfId="2" applyNumberFormat="1" applyFont="1" applyFill="1" applyBorder="1" applyAlignment="1">
      <alignment horizontal="center" vertical="center" wrapText="1"/>
    </xf>
    <xf numFmtId="41" fontId="30" fillId="0" borderId="8" xfId="2" applyNumberFormat="1" applyFont="1" applyFill="1" applyBorder="1" applyAlignment="1">
      <alignment horizontal="center" vertical="center" wrapText="1"/>
    </xf>
    <xf numFmtId="41" fontId="30" fillId="0" borderId="9" xfId="2" applyNumberFormat="1" applyFont="1" applyFill="1" applyBorder="1" applyAlignment="1">
      <alignment horizontal="center" vertical="center" wrapText="1"/>
    </xf>
    <xf numFmtId="41" fontId="86" fillId="0" borderId="12" xfId="2" applyNumberFormat="1" applyFont="1" applyFill="1" applyBorder="1" applyAlignment="1">
      <alignment horizontal="center" vertical="center" wrapText="1"/>
    </xf>
    <xf numFmtId="41" fontId="30" fillId="0" borderId="12" xfId="2"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41" fontId="10" fillId="0" borderId="2" xfId="0" applyNumberFormat="1" applyFont="1" applyFill="1" applyBorder="1" applyAlignment="1">
      <alignment horizontal="center" vertical="top" wrapText="1"/>
    </xf>
    <xf numFmtId="0" fontId="27" fillId="0" borderId="10" xfId="0" applyFont="1" applyFill="1" applyBorder="1" applyAlignment="1">
      <alignment horizontal="center" vertical="top" wrapText="1"/>
    </xf>
    <xf numFmtId="164" fontId="87" fillId="0" borderId="7" xfId="2" applyNumberFormat="1" applyFont="1" applyFill="1" applyBorder="1" applyAlignment="1">
      <alignment horizontal="center" vertical="center" wrapText="1"/>
    </xf>
    <xf numFmtId="164" fontId="87" fillId="0" borderId="8" xfId="2" applyNumberFormat="1" applyFont="1" applyFill="1" applyBorder="1" applyAlignment="1">
      <alignment horizontal="center" vertical="center" wrapText="1"/>
    </xf>
    <xf numFmtId="164" fontId="87" fillId="0" borderId="9" xfId="2" applyNumberFormat="1" applyFont="1" applyFill="1" applyBorder="1" applyAlignment="1">
      <alignment horizontal="center" vertical="center" wrapText="1"/>
    </xf>
    <xf numFmtId="164" fontId="88" fillId="0" borderId="7" xfId="2" applyNumberFormat="1" applyFont="1" applyFill="1" applyBorder="1" applyAlignment="1">
      <alignment horizontal="center" vertical="center" wrapText="1"/>
    </xf>
    <xf numFmtId="164" fontId="88" fillId="0" borderId="8" xfId="2" applyNumberFormat="1" applyFont="1" applyFill="1" applyBorder="1" applyAlignment="1">
      <alignment horizontal="center" vertical="center" wrapText="1"/>
    </xf>
    <xf numFmtId="164" fontId="88" fillId="0" borderId="9" xfId="2" applyNumberFormat="1" applyFont="1" applyFill="1" applyBorder="1" applyAlignment="1">
      <alignment horizontal="center" vertical="center" wrapText="1"/>
    </xf>
    <xf numFmtId="168" fontId="47" fillId="0" borderId="0" xfId="0" applyNumberFormat="1" applyFont="1" applyFill="1" applyBorder="1" applyAlignment="1">
      <alignment horizontal="center" vertical="top" wrapText="1"/>
    </xf>
    <xf numFmtId="41" fontId="10" fillId="0" borderId="0" xfId="0" applyNumberFormat="1" applyFont="1" applyFill="1" applyBorder="1" applyAlignment="1">
      <alignment horizontal="center" vertical="top" wrapText="1"/>
    </xf>
    <xf numFmtId="164" fontId="30" fillId="0" borderId="7" xfId="2" applyNumberFormat="1" applyFont="1" applyFill="1" applyBorder="1" applyAlignment="1">
      <alignment horizontal="center" vertical="center" wrapText="1"/>
    </xf>
    <xf numFmtId="164" fontId="30" fillId="0" borderId="8" xfId="2" applyNumberFormat="1" applyFont="1" applyFill="1" applyBorder="1" applyAlignment="1">
      <alignment horizontal="center" vertical="center" wrapText="1"/>
    </xf>
    <xf numFmtId="164" fontId="30" fillId="0" borderId="9" xfId="2" applyNumberFormat="1" applyFont="1" applyFill="1" applyBorder="1" applyAlignment="1">
      <alignment horizontal="center" vertical="center" wrapText="1"/>
    </xf>
    <xf numFmtId="164" fontId="17" fillId="0" borderId="10" xfId="2" applyNumberFormat="1" applyFont="1" applyFill="1" applyBorder="1" applyAlignment="1">
      <alignment horizontal="center" vertical="center" wrapText="1"/>
    </xf>
    <xf numFmtId="0" fontId="0" fillId="0" borderId="10" xfId="0" applyFill="1" applyBorder="1"/>
    <xf numFmtId="0" fontId="15" fillId="0" borderId="0" xfId="0" applyFont="1" applyFill="1" applyBorder="1" applyAlignment="1">
      <alignment vertical="top" wrapText="1"/>
    </xf>
    <xf numFmtId="0" fontId="7" fillId="0" borderId="0" xfId="0" applyFont="1" applyFill="1" applyBorder="1" applyAlignment="1">
      <alignment horizontal="left" wrapText="1"/>
    </xf>
    <xf numFmtId="0" fontId="15" fillId="0" borderId="0" xfId="0" applyFont="1" applyFill="1" applyBorder="1" applyAlignment="1">
      <alignment horizontal="left" vertical="top" wrapText="1"/>
    </xf>
    <xf numFmtId="0" fontId="33" fillId="0" borderId="7" xfId="0"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33" fillId="0" borderId="9"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7" fillId="0" borderId="0" xfId="0" applyFont="1" applyFill="1" applyBorder="1" applyAlignment="1">
      <alignment horizontal="left" vertical="top" wrapText="1"/>
    </xf>
    <xf numFmtId="0" fontId="27" fillId="0" borderId="1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71" fillId="0" borderId="0" xfId="0" applyFont="1" applyFill="1" applyAlignment="1">
      <alignment vertical="top"/>
    </xf>
    <xf numFmtId="165" fontId="21" fillId="0" borderId="7" xfId="0" applyNumberFormat="1" applyFont="1" applyFill="1" applyBorder="1" applyAlignment="1">
      <alignment horizontal="left" vertical="top" wrapText="1"/>
    </xf>
    <xf numFmtId="165" fontId="21" fillId="0" borderId="8" xfId="0" applyNumberFormat="1" applyFont="1" applyFill="1" applyBorder="1" applyAlignment="1">
      <alignment horizontal="left" vertical="top" wrapText="1"/>
    </xf>
    <xf numFmtId="165" fontId="21" fillId="0" borderId="9" xfId="0" applyNumberFormat="1" applyFont="1" applyFill="1" applyBorder="1" applyAlignment="1">
      <alignment horizontal="left" vertical="top" wrapText="1"/>
    </xf>
    <xf numFmtId="41" fontId="47" fillId="0" borderId="0" xfId="2" applyFont="1" applyFill="1" applyAlignment="1">
      <alignment horizontal="center" vertical="top" wrapText="1"/>
    </xf>
    <xf numFmtId="41" fontId="86" fillId="0" borderId="7" xfId="2" applyNumberFormat="1" applyFont="1" applyFill="1" applyBorder="1" applyAlignment="1">
      <alignment horizontal="center" vertical="center" wrapText="1"/>
    </xf>
    <xf numFmtId="41" fontId="86" fillId="0" borderId="8" xfId="2" applyNumberFormat="1" applyFont="1" applyFill="1" applyBorder="1" applyAlignment="1">
      <alignment horizontal="center" vertical="center" wrapText="1"/>
    </xf>
    <xf numFmtId="41" fontId="86" fillId="0" borderId="9" xfId="2" applyNumberFormat="1" applyFont="1" applyFill="1" applyBorder="1" applyAlignment="1">
      <alignment horizontal="center" vertical="center" wrapText="1"/>
    </xf>
    <xf numFmtId="164" fontId="86" fillId="0" borderId="7" xfId="2" applyNumberFormat="1" applyFont="1" applyFill="1" applyBorder="1" applyAlignment="1">
      <alignment horizontal="center" vertical="center" wrapText="1"/>
    </xf>
    <xf numFmtId="164" fontId="86" fillId="0" borderId="8" xfId="2" applyNumberFormat="1" applyFont="1" applyFill="1" applyBorder="1" applyAlignment="1">
      <alignment horizontal="center" vertical="center" wrapText="1"/>
    </xf>
    <xf numFmtId="164" fontId="86" fillId="0" borderId="9" xfId="2" applyNumberFormat="1" applyFont="1" applyFill="1" applyBorder="1" applyAlignment="1">
      <alignment horizontal="center" vertical="center" wrapText="1"/>
    </xf>
    <xf numFmtId="0" fontId="10" fillId="0" borderId="5" xfId="0" applyFont="1" applyFill="1" applyBorder="1" applyAlignment="1">
      <alignment horizontal="justify" vertical="top" wrapText="1"/>
    </xf>
    <xf numFmtId="41" fontId="33" fillId="0" borderId="7" xfId="0" quotePrefix="1" applyNumberFormat="1" applyFont="1" applyFill="1" applyBorder="1" applyAlignment="1">
      <alignment horizontal="center" vertical="center" wrapText="1"/>
    </xf>
    <xf numFmtId="41" fontId="33" fillId="0" borderId="8" xfId="0" quotePrefix="1" applyNumberFormat="1" applyFont="1" applyFill="1" applyBorder="1" applyAlignment="1">
      <alignment horizontal="center" vertical="center" wrapText="1"/>
    </xf>
    <xf numFmtId="41" fontId="33" fillId="0" borderId="9" xfId="0" quotePrefix="1" applyNumberFormat="1" applyFont="1" applyFill="1" applyBorder="1" applyAlignment="1">
      <alignment horizontal="center" vertical="center" wrapText="1"/>
    </xf>
    <xf numFmtId="41" fontId="87" fillId="0" borderId="7" xfId="2" applyNumberFormat="1" applyFont="1" applyFill="1" applyBorder="1" applyAlignment="1">
      <alignment horizontal="center" vertical="center" wrapText="1"/>
    </xf>
    <xf numFmtId="41" fontId="87" fillId="0" borderId="8" xfId="2" applyNumberFormat="1" applyFont="1" applyFill="1" applyBorder="1" applyAlignment="1">
      <alignment horizontal="center" vertical="center" wrapText="1"/>
    </xf>
    <xf numFmtId="41" fontId="87" fillId="0" borderId="9" xfId="2" applyNumberFormat="1" applyFont="1" applyFill="1" applyBorder="1" applyAlignment="1">
      <alignment horizontal="center" vertical="center" wrapText="1"/>
    </xf>
    <xf numFmtId="169" fontId="26" fillId="0" borderId="7" xfId="2" applyNumberFormat="1" applyFont="1" applyFill="1" applyBorder="1" applyAlignment="1">
      <alignment horizontal="center" vertical="center" wrapText="1"/>
    </xf>
    <xf numFmtId="169" fontId="26" fillId="0" borderId="8" xfId="2" applyNumberFormat="1" applyFont="1" applyFill="1" applyBorder="1" applyAlignment="1">
      <alignment horizontal="center" vertical="center" wrapText="1"/>
    </xf>
    <xf numFmtId="169" fontId="26" fillId="0" borderId="9" xfId="2" applyNumberFormat="1" applyFont="1" applyFill="1" applyBorder="1" applyAlignment="1">
      <alignment horizontal="center" vertical="center" wrapText="1"/>
    </xf>
    <xf numFmtId="0" fontId="25" fillId="0" borderId="10" xfId="0" applyNumberFormat="1" applyFont="1" applyFill="1" applyBorder="1" applyAlignment="1">
      <alignment horizontal="left" vertical="top" wrapText="1"/>
    </xf>
    <xf numFmtId="170" fontId="86" fillId="0" borderId="7" xfId="2" applyNumberFormat="1" applyFont="1" applyFill="1" applyBorder="1" applyAlignment="1">
      <alignment horizontal="center" vertical="center" wrapText="1"/>
    </xf>
    <xf numFmtId="170" fontId="86" fillId="0" borderId="8" xfId="2" applyNumberFormat="1" applyFont="1" applyFill="1" applyBorder="1" applyAlignment="1">
      <alignment horizontal="center" vertical="center" wrapText="1"/>
    </xf>
    <xf numFmtId="170" fontId="86" fillId="0" borderId="9" xfId="2" applyNumberFormat="1" applyFont="1" applyFill="1" applyBorder="1" applyAlignment="1">
      <alignment horizontal="center" vertical="center" wrapText="1"/>
    </xf>
    <xf numFmtId="0" fontId="10" fillId="0" borderId="5" xfId="0" applyFont="1" applyFill="1" applyBorder="1" applyAlignment="1">
      <alignment horizontal="justify" wrapText="1"/>
    </xf>
    <xf numFmtId="164" fontId="21" fillId="0" borderId="7" xfId="2" applyNumberFormat="1" applyFont="1" applyFill="1" applyBorder="1" applyAlignment="1">
      <alignment horizontal="center" vertical="center" wrapText="1"/>
    </xf>
    <xf numFmtId="164" fontId="21" fillId="0" borderId="8" xfId="2" applyNumberFormat="1" applyFont="1" applyFill="1" applyBorder="1" applyAlignment="1">
      <alignment horizontal="center" vertical="center" wrapText="1"/>
    </xf>
    <xf numFmtId="164" fontId="21" fillId="0" borderId="9" xfId="2" applyNumberFormat="1" applyFont="1" applyFill="1" applyBorder="1" applyAlignment="1">
      <alignment horizontal="center" vertical="center" wrapText="1"/>
    </xf>
    <xf numFmtId="0" fontId="8" fillId="0" borderId="0" xfId="0" applyFont="1" applyFill="1" applyAlignment="1">
      <alignment horizontal="center" vertical="top" wrapText="1"/>
    </xf>
    <xf numFmtId="164" fontId="30" fillId="0" borderId="12" xfId="2" applyNumberFormat="1" applyFont="1" applyFill="1" applyBorder="1" applyAlignment="1">
      <alignment horizontal="center" vertical="center" wrapText="1"/>
    </xf>
    <xf numFmtId="164" fontId="87" fillId="0" borderId="12" xfId="2" applyNumberFormat="1" applyFont="1" applyFill="1" applyBorder="1" applyAlignment="1">
      <alignment horizontal="center" vertical="center" wrapText="1"/>
    </xf>
    <xf numFmtId="0" fontId="4" fillId="3" borderId="0" xfId="0" applyFont="1" applyFill="1" applyAlignment="1">
      <alignment vertical="top"/>
    </xf>
    <xf numFmtId="0" fontId="10" fillId="3" borderId="0" xfId="0" applyFont="1" applyFill="1" applyBorder="1" applyAlignment="1">
      <alignment horizontal="justify" vertical="top" wrapText="1"/>
    </xf>
    <xf numFmtId="0" fontId="10" fillId="3" borderId="0" xfId="0" applyFont="1" applyFill="1" applyBorder="1" applyAlignment="1">
      <alignment horizontal="justify" vertical="top" wrapText="1"/>
    </xf>
    <xf numFmtId="169" fontId="30" fillId="0" borderId="7" xfId="2" applyNumberFormat="1" applyFont="1" applyFill="1" applyBorder="1" applyAlignment="1">
      <alignment horizontal="center" vertical="center" wrapText="1"/>
    </xf>
    <xf numFmtId="169" fontId="30" fillId="0" borderId="8" xfId="2" applyNumberFormat="1" applyFont="1" applyFill="1" applyBorder="1" applyAlignment="1">
      <alignment horizontal="center" vertical="center" wrapText="1"/>
    </xf>
    <xf numFmtId="169" fontId="30" fillId="0" borderId="9" xfId="2"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33" fillId="0" borderId="16"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1" fontId="33" fillId="0" borderId="13" xfId="0" applyNumberFormat="1" applyFont="1" applyFill="1" applyBorder="1" applyAlignment="1">
      <alignment horizontal="center" vertical="center" wrapText="1"/>
    </xf>
    <xf numFmtId="0" fontId="33" fillId="0" borderId="13" xfId="0" applyFont="1" applyFill="1" applyBorder="1" applyAlignment="1">
      <alignment horizontal="center" vertical="center" wrapText="1"/>
    </xf>
    <xf numFmtId="0" fontId="71" fillId="0" borderId="0" xfId="0" applyFont="1" applyFill="1" applyBorder="1" applyAlignment="1">
      <alignment vertical="top"/>
    </xf>
    <xf numFmtId="164" fontId="26" fillId="0" borderId="12" xfId="2" applyNumberFormat="1" applyFont="1" applyFill="1" applyBorder="1" applyAlignment="1">
      <alignment horizontal="center" vertical="center" wrapText="1"/>
    </xf>
    <xf numFmtId="0" fontId="23" fillId="0" borderId="7"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41" fontId="86" fillId="0" borderId="10" xfId="2" applyNumberFormat="1"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20" fillId="0" borderId="10" xfId="0" applyFont="1" applyFill="1" applyBorder="1" applyAlignment="1">
      <alignment horizontal="center" vertical="top" wrapText="1"/>
    </xf>
    <xf numFmtId="167" fontId="30" fillId="0" borderId="10" xfId="1" applyNumberFormat="1" applyFont="1" applyFill="1" applyBorder="1" applyAlignment="1">
      <alignment horizontal="center" vertical="center" wrapText="1"/>
    </xf>
    <xf numFmtId="41" fontId="30" fillId="0" borderId="10" xfId="0" applyNumberFormat="1" applyFont="1" applyFill="1" applyBorder="1" applyAlignment="1">
      <alignment horizontal="center" vertical="center" wrapText="1"/>
    </xf>
    <xf numFmtId="0" fontId="14" fillId="0" borderId="0" xfId="0" applyFont="1" applyFill="1" applyAlignment="1">
      <alignment horizontal="center" vertical="top" wrapText="1"/>
    </xf>
    <xf numFmtId="0" fontId="6" fillId="0" borderId="0" xfId="0" applyFont="1" applyFill="1" applyAlignment="1">
      <alignment horizontal="center" vertical="top" wrapText="1"/>
    </xf>
    <xf numFmtId="41" fontId="30" fillId="0" borderId="10" xfId="2" applyNumberFormat="1" applyFont="1" applyFill="1" applyBorder="1" applyAlignment="1">
      <alignment horizontal="center" vertical="center" wrapText="1"/>
    </xf>
    <xf numFmtId="0" fontId="89" fillId="0" borderId="0" xfId="0" applyFont="1" applyFill="1" applyBorder="1" applyAlignment="1">
      <alignment horizontal="left" vertical="top" wrapText="1"/>
    </xf>
    <xf numFmtId="0" fontId="89" fillId="0" borderId="0" xfId="0" applyFont="1" applyFill="1" applyAlignment="1">
      <alignment horizontal="left" vertical="top" wrapText="1"/>
    </xf>
    <xf numFmtId="164" fontId="26" fillId="0" borderId="10" xfId="2"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vertical="center" wrapText="1"/>
    </xf>
    <xf numFmtId="0" fontId="7" fillId="0" borderId="5" xfId="0" applyFont="1" applyFill="1" applyBorder="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5" xfId="0" applyFont="1" applyFill="1" applyBorder="1" applyAlignment="1">
      <alignment horizontal="left" vertical="top" wrapText="1"/>
    </xf>
    <xf numFmtId="164" fontId="10" fillId="0" borderId="7" xfId="2" applyNumberFormat="1" applyFont="1" applyFill="1" applyBorder="1" applyAlignment="1">
      <alignment horizontal="center" vertical="center" wrapText="1"/>
    </xf>
    <xf numFmtId="164" fontId="10" fillId="0" borderId="8" xfId="2" applyNumberFormat="1" applyFont="1" applyFill="1" applyBorder="1" applyAlignment="1">
      <alignment horizontal="center" vertical="center" wrapText="1"/>
    </xf>
    <xf numFmtId="164" fontId="10" fillId="0" borderId="9" xfId="2" applyNumberFormat="1" applyFont="1" applyFill="1" applyBorder="1" applyAlignment="1">
      <alignment horizontal="center" vertical="center" wrapText="1"/>
    </xf>
    <xf numFmtId="41" fontId="87" fillId="0" borderId="10" xfId="2"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41" fontId="10" fillId="0" borderId="0" xfId="0" applyNumberFormat="1" applyFont="1" applyFill="1" applyBorder="1" applyAlignment="1">
      <alignment horizontal="center" vertical="center" wrapText="1"/>
    </xf>
    <xf numFmtId="41" fontId="90" fillId="0" borderId="0" xfId="0" applyNumberFormat="1" applyFont="1" applyFill="1" applyAlignment="1">
      <alignment horizontal="center" vertical="top"/>
    </xf>
    <xf numFmtId="0" fontId="90" fillId="0" borderId="0" xfId="0" applyFont="1" applyFill="1" applyAlignment="1">
      <alignment horizontal="center" vertical="top"/>
    </xf>
    <xf numFmtId="0" fontId="20" fillId="0" borderId="7" xfId="0" applyFont="1" applyFill="1" applyBorder="1" applyAlignment="1">
      <alignment horizontal="center" vertical="center" wrapText="1"/>
    </xf>
    <xf numFmtId="43" fontId="10" fillId="0"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43" fontId="14" fillId="0" borderId="1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43" fontId="14" fillId="0" borderId="0" xfId="0" applyNumberFormat="1" applyFont="1" applyFill="1" applyBorder="1" applyAlignment="1">
      <alignment horizontal="center" vertical="center" wrapText="1"/>
    </xf>
    <xf numFmtId="0" fontId="91" fillId="0" borderId="0" xfId="0" applyFont="1" applyFill="1" applyAlignment="1">
      <alignment vertical="top"/>
    </xf>
    <xf numFmtId="0" fontId="18" fillId="0" borderId="10" xfId="0" applyFont="1" applyFill="1" applyBorder="1" applyAlignment="1">
      <alignment horizontal="left" vertical="top" wrapText="1"/>
    </xf>
    <xf numFmtId="164" fontId="86" fillId="0" borderId="10" xfId="2" applyNumberFormat="1" applyFont="1" applyFill="1" applyBorder="1" applyAlignment="1">
      <alignment horizontal="center" vertical="center" wrapText="1"/>
    </xf>
    <xf numFmtId="0" fontId="92" fillId="0" borderId="10" xfId="0" applyFont="1" applyFill="1" applyBorder="1" applyAlignment="1">
      <alignment horizontal="center" vertical="top" wrapText="1"/>
    </xf>
    <xf numFmtId="169" fontId="26" fillId="0" borderId="10" xfId="2" applyNumberFormat="1" applyFont="1" applyFill="1" applyBorder="1" applyAlignment="1">
      <alignment horizontal="center" vertical="center" wrapText="1"/>
    </xf>
    <xf numFmtId="0" fontId="96" fillId="0" borderId="10" xfId="0" applyFont="1" applyFill="1" applyBorder="1" applyAlignment="1">
      <alignment horizontal="center" vertical="top" wrapText="1"/>
    </xf>
    <xf numFmtId="0" fontId="96" fillId="0" borderId="0" xfId="0" applyFont="1" applyFill="1" applyBorder="1" applyAlignment="1">
      <alignment horizontal="center" vertical="top" wrapText="1"/>
    </xf>
    <xf numFmtId="0" fontId="97" fillId="0" borderId="0" xfId="0" applyFont="1" applyFill="1" applyAlignment="1">
      <alignment vertical="top"/>
    </xf>
    <xf numFmtId="0" fontId="96" fillId="0" borderId="10" xfId="0" applyFont="1" applyFill="1" applyBorder="1" applyAlignment="1">
      <alignment horizontal="center" vertical="center" wrapText="1"/>
    </xf>
    <xf numFmtId="164" fontId="17" fillId="0" borderId="12" xfId="2" applyNumberFormat="1" applyFont="1" applyFill="1" applyBorder="1" applyAlignment="1">
      <alignment horizontal="center" vertical="center" wrapText="1"/>
    </xf>
    <xf numFmtId="0" fontId="0" fillId="0" borderId="12" xfId="0" applyFill="1" applyBorder="1"/>
    <xf numFmtId="165" fontId="25" fillId="0" borderId="12" xfId="0" applyNumberFormat="1" applyFont="1" applyFill="1" applyBorder="1" applyAlignment="1">
      <alignment horizontal="left" vertical="top" wrapText="1"/>
    </xf>
    <xf numFmtId="0" fontId="33" fillId="0" borderId="1" xfId="0" applyFont="1" applyFill="1" applyBorder="1" applyAlignment="1">
      <alignment horizontal="center" vertical="center"/>
    </xf>
    <xf numFmtId="0" fontId="23" fillId="0" borderId="13" xfId="0" applyFont="1" applyFill="1" applyBorder="1" applyAlignment="1">
      <alignment horizontal="center" vertical="center" wrapText="1"/>
    </xf>
    <xf numFmtId="41" fontId="23" fillId="0" borderId="13" xfId="0" applyNumberFormat="1" applyFont="1" applyFill="1" applyBorder="1" applyAlignment="1">
      <alignment horizontal="center" vertical="center" wrapText="1"/>
    </xf>
    <xf numFmtId="0" fontId="23" fillId="0" borderId="4" xfId="0" quotePrefix="1" applyNumberFormat="1" applyFont="1" applyFill="1" applyBorder="1" applyAlignment="1">
      <alignment horizontal="center" vertical="center" wrapText="1"/>
    </xf>
    <xf numFmtId="0" fontId="23" fillId="0" borderId="5" xfId="0" quotePrefix="1" applyNumberFormat="1" applyFont="1" applyFill="1" applyBorder="1" applyAlignment="1">
      <alignment horizontal="center" vertical="center" wrapText="1"/>
    </xf>
    <xf numFmtId="0" fontId="23" fillId="0" borderId="6" xfId="0" quotePrefix="1" applyNumberFormat="1" applyFont="1" applyFill="1" applyBorder="1" applyAlignment="1">
      <alignment horizontal="center" vertical="center" wrapText="1"/>
    </xf>
    <xf numFmtId="0" fontId="0" fillId="0" borderId="0" xfId="0" applyFill="1" applyBorder="1"/>
    <xf numFmtId="164" fontId="30" fillId="0" borderId="10" xfId="2" applyNumberFormat="1" applyFont="1" applyFill="1" applyBorder="1" applyAlignment="1">
      <alignment horizontal="center" vertical="center" wrapText="1"/>
    </xf>
    <xf numFmtId="41" fontId="26" fillId="0" borderId="10" xfId="2" applyNumberFormat="1" applyFont="1" applyFill="1" applyBorder="1" applyAlignment="1">
      <alignment horizontal="center" vertical="center" wrapText="1"/>
    </xf>
    <xf numFmtId="41" fontId="52" fillId="0" borderId="7" xfId="2" applyNumberFormat="1" applyFont="1" applyFill="1" applyBorder="1" applyAlignment="1">
      <alignment horizontal="center" vertical="center" wrapText="1"/>
    </xf>
    <xf numFmtId="41" fontId="52" fillId="0" borderId="8" xfId="2" applyNumberFormat="1" applyFont="1" applyFill="1" applyBorder="1" applyAlignment="1">
      <alignment horizontal="center" vertical="center" wrapText="1"/>
    </xf>
    <xf numFmtId="41" fontId="52" fillId="0" borderId="9" xfId="2" applyNumberFormat="1" applyFont="1" applyFill="1" applyBorder="1" applyAlignment="1">
      <alignment horizontal="center" vertical="center" wrapText="1"/>
    </xf>
    <xf numFmtId="41" fontId="52" fillId="0" borderId="10" xfId="2" applyNumberFormat="1" applyFont="1" applyFill="1" applyBorder="1" applyAlignment="1">
      <alignment horizontal="center" vertical="center" wrapText="1"/>
    </xf>
    <xf numFmtId="164" fontId="33" fillId="0" borderId="10" xfId="2" applyNumberFormat="1" applyFont="1" applyFill="1" applyBorder="1" applyAlignment="1">
      <alignment horizontal="center" vertical="center" wrapText="1"/>
    </xf>
    <xf numFmtId="0" fontId="38" fillId="0" borderId="0" xfId="0" applyFont="1" applyFill="1" applyAlignment="1">
      <alignment vertical="center"/>
    </xf>
    <xf numFmtId="0" fontId="98" fillId="0" borderId="0" xfId="0" applyFont="1" applyFill="1" applyAlignment="1">
      <alignment vertical="top"/>
    </xf>
    <xf numFmtId="0" fontId="10" fillId="0" borderId="0" xfId="0" applyFont="1" applyFill="1" applyAlignment="1">
      <alignment horizontal="justify" vertical="center" wrapText="1"/>
    </xf>
    <xf numFmtId="43" fontId="10" fillId="0" borderId="10" xfId="0" applyNumberFormat="1" applyFont="1" applyFill="1" applyBorder="1" applyAlignment="1">
      <alignment horizontal="center" vertical="top" wrapText="1"/>
    </xf>
    <xf numFmtId="0" fontId="10" fillId="0" borderId="10" xfId="0" applyFont="1" applyFill="1" applyBorder="1" applyAlignment="1">
      <alignment horizontal="center" vertical="top" wrapText="1"/>
    </xf>
    <xf numFmtId="0" fontId="97" fillId="0" borderId="0" xfId="0" applyFont="1" applyFill="1" applyAlignment="1">
      <alignment horizontal="left" vertical="center"/>
    </xf>
    <xf numFmtId="0" fontId="14" fillId="0" borderId="10" xfId="0" applyFont="1" applyFill="1" applyBorder="1" applyAlignment="1">
      <alignment horizontal="center" vertical="top" wrapText="1"/>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8" xfId="0" applyFont="1" applyFill="1" applyBorder="1" applyAlignment="1">
      <alignment vertical="center"/>
    </xf>
    <xf numFmtId="0" fontId="3" fillId="0" borderId="8" xfId="0" applyFont="1" applyFill="1" applyBorder="1" applyAlignment="1">
      <alignment vertical="center"/>
    </xf>
    <xf numFmtId="0" fontId="14" fillId="0" borderId="8" xfId="0" applyFont="1" applyFill="1" applyBorder="1" applyAlignment="1">
      <alignment horizontal="justify" vertical="center" wrapText="1"/>
    </xf>
    <xf numFmtId="0" fontId="3" fillId="0" borderId="9" xfId="0" applyFont="1" applyFill="1" applyBorder="1" applyAlignment="1">
      <alignment vertical="center"/>
    </xf>
    <xf numFmtId="164" fontId="14" fillId="0" borderId="7" xfId="2" applyNumberFormat="1" applyFont="1" applyFill="1" applyBorder="1" applyAlignment="1">
      <alignment horizontal="center" vertical="center" wrapText="1"/>
    </xf>
    <xf numFmtId="164" fontId="14" fillId="0" borderId="8" xfId="2" applyNumberFormat="1" applyFont="1" applyFill="1" applyBorder="1" applyAlignment="1">
      <alignment horizontal="center" vertical="center" wrapText="1"/>
    </xf>
    <xf numFmtId="164" fontId="14" fillId="0" borderId="9" xfId="2" applyNumberFormat="1" applyFont="1" applyFill="1" applyBorder="1" applyAlignment="1">
      <alignment horizontal="center" vertical="center" wrapText="1"/>
    </xf>
    <xf numFmtId="0" fontId="99" fillId="0" borderId="8" xfId="0" applyFont="1" applyFill="1" applyBorder="1" applyAlignment="1">
      <alignment vertical="center"/>
    </xf>
    <xf numFmtId="0" fontId="100" fillId="0" borderId="8" xfId="0" applyFont="1" applyFill="1" applyBorder="1" applyAlignment="1">
      <alignment vertical="center"/>
    </xf>
    <xf numFmtId="0" fontId="20" fillId="0" borderId="8" xfId="0" applyFont="1" applyFill="1" applyBorder="1" applyAlignment="1">
      <alignment horizontal="justify" vertical="center" wrapText="1"/>
    </xf>
    <xf numFmtId="0" fontId="100" fillId="0" borderId="9" xfId="0" applyFont="1" applyFill="1" applyBorder="1" applyAlignment="1">
      <alignment vertical="center"/>
    </xf>
    <xf numFmtId="0" fontId="99" fillId="0" borderId="8" xfId="0" applyFont="1" applyFill="1" applyBorder="1" applyAlignment="1">
      <alignment horizontal="left" vertical="center" wrapText="1"/>
    </xf>
    <xf numFmtId="0" fontId="99" fillId="0" borderId="9" xfId="0" applyFont="1" applyFill="1" applyBorder="1" applyAlignment="1">
      <alignment horizontal="left" vertical="center" wrapText="1"/>
    </xf>
    <xf numFmtId="0" fontId="4" fillId="0" borderId="8" xfId="0" applyFont="1" applyFill="1" applyBorder="1" applyAlignment="1">
      <alignment vertical="center"/>
    </xf>
    <xf numFmtId="0" fontId="10" fillId="0" borderId="8" xfId="0" applyFont="1" applyFill="1" applyBorder="1" applyAlignment="1">
      <alignment horizontal="justify" vertical="center" wrapText="1"/>
    </xf>
    <xf numFmtId="0" fontId="4" fillId="0" borderId="9" xfId="0" applyFont="1" applyFill="1" applyBorder="1" applyAlignment="1">
      <alignment vertical="center"/>
    </xf>
    <xf numFmtId="0" fontId="101" fillId="0" borderId="7" xfId="0" applyFont="1" applyFill="1" applyBorder="1" applyAlignment="1">
      <alignment horizontal="center" vertical="center"/>
    </xf>
    <xf numFmtId="0" fontId="101"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102" fillId="0" borderId="8" xfId="0" applyFont="1" applyFill="1" applyBorder="1" applyAlignment="1">
      <alignment horizontal="left" vertical="center" wrapText="1"/>
    </xf>
    <xf numFmtId="0" fontId="102" fillId="0" borderId="9"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8" fillId="0" borderId="8" xfId="0" applyFont="1" applyFill="1" applyBorder="1" applyAlignment="1">
      <alignment horizontal="center" vertical="center"/>
    </xf>
    <xf numFmtId="0" fontId="101" fillId="0" borderId="7" xfId="0" applyFont="1" applyFill="1" applyBorder="1" applyAlignment="1">
      <alignment horizontal="center" vertical="center"/>
    </xf>
    <xf numFmtId="0" fontId="101" fillId="0" borderId="8" xfId="0" applyFont="1" applyFill="1" applyBorder="1" applyAlignment="1">
      <alignment horizontal="center" vertical="center"/>
    </xf>
    <xf numFmtId="0" fontId="101" fillId="0" borderId="9" xfId="0" applyFont="1" applyFill="1" applyBorder="1" applyAlignment="1">
      <alignment horizontal="center" vertical="center"/>
    </xf>
    <xf numFmtId="164" fontId="15" fillId="0" borderId="0" xfId="2" applyNumberFormat="1" applyFont="1" applyFill="1" applyBorder="1" applyAlignment="1">
      <alignment horizontal="center" vertical="top" wrapText="1"/>
    </xf>
    <xf numFmtId="164" fontId="6" fillId="0" borderId="0" xfId="2" applyNumberFormat="1" applyFont="1" applyFill="1" applyBorder="1" applyAlignment="1">
      <alignment horizontal="center" vertical="top" wrapText="1"/>
    </xf>
    <xf numFmtId="0" fontId="10" fillId="0" borderId="0" xfId="0" quotePrefix="1" applyFont="1" applyFill="1" applyAlignment="1">
      <alignment vertical="top" wrapText="1"/>
    </xf>
    <xf numFmtId="0" fontId="103" fillId="0" borderId="7" xfId="0" applyFont="1" applyFill="1" applyBorder="1" applyAlignment="1">
      <alignment horizontal="left" vertical="justify"/>
    </xf>
    <xf numFmtId="0" fontId="103" fillId="0" borderId="8" xfId="0" applyFont="1" applyFill="1" applyBorder="1" applyAlignment="1">
      <alignment horizontal="left" vertical="justify"/>
    </xf>
    <xf numFmtId="0" fontId="103" fillId="0" borderId="9" xfId="0" applyFont="1" applyFill="1" applyBorder="1" applyAlignment="1">
      <alignment horizontal="left" vertical="justify"/>
    </xf>
    <xf numFmtId="0" fontId="103" fillId="0" borderId="7" xfId="0" applyFont="1" applyFill="1" applyBorder="1" applyAlignment="1">
      <alignment horizontal="left" vertical="center" wrapText="1"/>
    </xf>
    <xf numFmtId="0" fontId="103" fillId="0" borderId="8" xfId="0" applyFont="1" applyFill="1" applyBorder="1" applyAlignment="1">
      <alignment horizontal="left" vertical="center" wrapText="1"/>
    </xf>
    <xf numFmtId="0" fontId="103" fillId="0" borderId="9" xfId="0" applyFont="1" applyFill="1" applyBorder="1" applyAlignment="1">
      <alignment horizontal="left" vertical="center" wrapText="1"/>
    </xf>
    <xf numFmtId="0" fontId="10" fillId="0" borderId="8" xfId="0" applyFont="1" applyFill="1" applyBorder="1" applyAlignment="1">
      <alignment horizontal="justify" vertical="top" wrapText="1"/>
    </xf>
    <xf numFmtId="0" fontId="48" fillId="0" borderId="7" xfId="0" applyFont="1" applyFill="1" applyBorder="1" applyAlignment="1">
      <alignment horizontal="center" vertical="center"/>
    </xf>
    <xf numFmtId="0" fontId="48" fillId="0" borderId="10" xfId="0" applyFont="1" applyFill="1" applyBorder="1" applyAlignment="1">
      <alignment horizontal="center" vertical="center"/>
    </xf>
    <xf numFmtId="164" fontId="28" fillId="0" borderId="7" xfId="2" applyNumberFormat="1" applyFont="1" applyFill="1" applyBorder="1" applyAlignment="1">
      <alignment horizontal="center" vertical="center" wrapText="1"/>
    </xf>
    <xf numFmtId="164" fontId="28" fillId="0" borderId="8" xfId="2" applyNumberFormat="1" applyFont="1" applyFill="1" applyBorder="1" applyAlignment="1">
      <alignment horizontal="center" vertical="center" wrapText="1"/>
    </xf>
    <xf numFmtId="164" fontId="28" fillId="0" borderId="9" xfId="2" applyNumberFormat="1" applyFont="1" applyFill="1" applyBorder="1" applyAlignment="1">
      <alignment horizontal="center" vertical="center" wrapText="1"/>
    </xf>
    <xf numFmtId="0" fontId="48" fillId="0" borderId="8" xfId="0" applyFont="1" applyFill="1" applyBorder="1" applyAlignment="1"/>
    <xf numFmtId="0" fontId="99" fillId="0" borderId="8" xfId="0" applyFont="1" applyFill="1" applyBorder="1"/>
    <xf numFmtId="164" fontId="19" fillId="0" borderId="7" xfId="2" applyNumberFormat="1" applyFont="1" applyFill="1" applyBorder="1" applyAlignment="1">
      <alignment horizontal="center" vertical="center" wrapText="1"/>
    </xf>
    <xf numFmtId="164" fontId="19" fillId="0" borderId="8" xfId="2" applyNumberFormat="1" applyFont="1" applyFill="1" applyBorder="1" applyAlignment="1">
      <alignment horizontal="center" vertical="center" wrapText="1"/>
    </xf>
    <xf numFmtId="164" fontId="19" fillId="0" borderId="9" xfId="2" applyNumberFormat="1" applyFont="1" applyFill="1" applyBorder="1" applyAlignment="1">
      <alignment horizontal="center" vertical="center" wrapText="1"/>
    </xf>
    <xf numFmtId="0" fontId="99" fillId="0" borderId="7" xfId="0" applyFont="1" applyFill="1" applyBorder="1" applyAlignment="1">
      <alignment horizontal="left" vertical="center" wrapText="1"/>
    </xf>
    <xf numFmtId="164" fontId="63" fillId="0" borderId="7" xfId="2" applyNumberFormat="1" applyFont="1" applyFill="1" applyBorder="1" applyAlignment="1">
      <alignment horizontal="center" vertical="center" wrapText="1"/>
    </xf>
    <xf numFmtId="164" fontId="63" fillId="0" borderId="8" xfId="2" applyNumberFormat="1" applyFont="1" applyFill="1" applyBorder="1" applyAlignment="1">
      <alignment horizontal="center" vertical="center" wrapText="1"/>
    </xf>
    <xf numFmtId="164" fontId="63" fillId="0" borderId="9" xfId="2" applyNumberFormat="1" applyFont="1" applyFill="1" applyBorder="1" applyAlignment="1">
      <alignment horizontal="center" vertical="center" wrapText="1"/>
    </xf>
    <xf numFmtId="0" fontId="101" fillId="0" borderId="10" xfId="0" applyFont="1" applyFill="1" applyBorder="1" applyAlignment="1">
      <alignment horizontal="center" vertical="center"/>
    </xf>
    <xf numFmtId="0" fontId="48" fillId="0" borderId="8" xfId="0" applyFont="1" applyFill="1" applyBorder="1"/>
    <xf numFmtId="0" fontId="4" fillId="0" borderId="10" xfId="0" applyFont="1" applyFill="1" applyBorder="1" applyAlignment="1">
      <alignment horizontal="center" vertical="center"/>
    </xf>
    <xf numFmtId="0" fontId="49" fillId="0" borderId="8" xfId="0" applyFont="1" applyFill="1" applyBorder="1"/>
    <xf numFmtId="0" fontId="4" fillId="0" borderId="0" xfId="0" quotePrefix="1" applyFont="1" applyFill="1" applyAlignment="1">
      <alignment vertical="center"/>
    </xf>
    <xf numFmtId="0" fontId="104" fillId="0" borderId="7" xfId="0" applyFont="1" applyFill="1" applyBorder="1" applyAlignment="1">
      <alignment vertical="center"/>
    </xf>
    <xf numFmtId="0" fontId="10" fillId="0" borderId="8" xfId="0" applyFont="1" applyFill="1" applyBorder="1" applyAlignment="1">
      <alignment vertical="top" wrapText="1"/>
    </xf>
    <xf numFmtId="0" fontId="104" fillId="0" borderId="8" xfId="0" applyFont="1" applyFill="1" applyBorder="1" applyAlignment="1">
      <alignment vertical="center"/>
    </xf>
    <xf numFmtId="0" fontId="14" fillId="0" borderId="0" xfId="0" applyFont="1" applyFill="1" applyBorder="1" applyAlignment="1">
      <alignment horizontal="center" vertical="top" wrapText="1"/>
    </xf>
    <xf numFmtId="164" fontId="14" fillId="0" borderId="0" xfId="2" applyNumberFormat="1" applyFont="1" applyFill="1" applyBorder="1" applyAlignment="1">
      <alignment horizontal="center" vertical="center" wrapText="1"/>
    </xf>
    <xf numFmtId="0" fontId="48" fillId="0" borderId="9" xfId="0" applyFont="1" applyFill="1" applyBorder="1" applyAlignment="1"/>
    <xf numFmtId="0" fontId="101" fillId="0" borderId="8" xfId="0" applyFont="1" applyFill="1" applyBorder="1" applyAlignment="1">
      <alignment horizontal="center"/>
    </xf>
    <xf numFmtId="0" fontId="99" fillId="0" borderId="9" xfId="0" applyFont="1" applyFill="1" applyBorder="1"/>
    <xf numFmtId="0" fontId="48" fillId="0" borderId="5" xfId="0" applyFont="1" applyFill="1" applyBorder="1" applyAlignment="1"/>
    <xf numFmtId="0" fontId="48" fillId="0" borderId="6" xfId="0" applyFont="1" applyFill="1" applyBorder="1" applyAlignment="1"/>
    <xf numFmtId="0" fontId="4" fillId="0" borderId="0" xfId="0" applyFont="1" applyFill="1" applyBorder="1" applyAlignment="1">
      <alignment horizontal="center" vertical="center"/>
    </xf>
    <xf numFmtId="0" fontId="48" fillId="0" borderId="8" xfId="0" applyFont="1" applyFill="1" applyBorder="1" applyAlignment="1">
      <alignment horizontal="center"/>
    </xf>
    <xf numFmtId="0" fontId="4" fillId="0" borderId="0" xfId="0" applyFont="1" applyFill="1" applyAlignment="1">
      <alignment horizontal="center" vertical="center"/>
    </xf>
    <xf numFmtId="0" fontId="101" fillId="0" borderId="0" xfId="0" applyFont="1" applyFill="1" applyBorder="1" applyAlignment="1">
      <alignment horizontal="center" vertical="center"/>
    </xf>
    <xf numFmtId="41" fontId="14" fillId="0" borderId="0" xfId="0"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11" fillId="0" borderId="0" xfId="0" applyFont="1" applyFill="1" applyAlignment="1">
      <alignment horizontal="center" vertical="top" wrapText="1"/>
    </xf>
    <xf numFmtId="0" fontId="100" fillId="0" borderId="7" xfId="0" applyFont="1" applyFill="1" applyBorder="1" applyAlignment="1">
      <alignment vertical="center"/>
    </xf>
    <xf numFmtId="0" fontId="4" fillId="0" borderId="8" xfId="0" applyFont="1" applyFill="1" applyBorder="1" applyAlignment="1"/>
    <xf numFmtId="41" fontId="28" fillId="0" borderId="7" xfId="2" applyNumberFormat="1" applyFont="1" applyFill="1" applyBorder="1" applyAlignment="1">
      <alignment horizontal="center" vertical="center" wrapText="1"/>
    </xf>
    <xf numFmtId="41" fontId="28" fillId="0" borderId="8" xfId="2" applyNumberFormat="1" applyFont="1" applyFill="1" applyBorder="1" applyAlignment="1">
      <alignment horizontal="center" vertical="center" wrapText="1"/>
    </xf>
    <xf numFmtId="41" fontId="28" fillId="0" borderId="9" xfId="2" applyNumberFormat="1" applyFont="1" applyFill="1" applyBorder="1" applyAlignment="1">
      <alignment horizontal="center" vertical="center" wrapText="1"/>
    </xf>
    <xf numFmtId="0" fontId="21" fillId="0" borderId="0" xfId="0" applyFont="1" applyFill="1" applyAlignment="1">
      <alignment horizontal="justify" vertical="center" wrapText="1"/>
    </xf>
    <xf numFmtId="0" fontId="20" fillId="0" borderId="0" xfId="0" applyFont="1" applyFill="1" applyBorder="1" applyAlignment="1">
      <alignment vertical="top"/>
    </xf>
    <xf numFmtId="0" fontId="48" fillId="0" borderId="7" xfId="0" applyFont="1" applyFill="1" applyBorder="1" applyAlignment="1">
      <alignment vertical="center"/>
    </xf>
    <xf numFmtId="164" fontId="14" fillId="0" borderId="7" xfId="2" applyNumberFormat="1" applyFont="1" applyFill="1" applyBorder="1" applyAlignment="1">
      <alignment horizontal="center" vertical="top" wrapText="1"/>
    </xf>
    <xf numFmtId="164" fontId="14" fillId="0" borderId="8" xfId="2" applyNumberFormat="1" applyFont="1" applyFill="1" applyBorder="1" applyAlignment="1">
      <alignment horizontal="center" vertical="top" wrapText="1"/>
    </xf>
    <xf numFmtId="164" fontId="14" fillId="0" borderId="9" xfId="2" applyNumberFormat="1" applyFont="1" applyFill="1" applyBorder="1" applyAlignment="1">
      <alignment horizontal="center" vertical="top" wrapText="1"/>
    </xf>
    <xf numFmtId="0" fontId="48" fillId="0" borderId="0" xfId="0" applyFont="1" applyFill="1" applyBorder="1" applyAlignment="1"/>
    <xf numFmtId="0" fontId="99" fillId="0" borderId="7" xfId="0" applyFont="1" applyFill="1" applyBorder="1" applyAlignment="1">
      <alignment horizontal="left" vertical="center"/>
    </xf>
    <xf numFmtId="0" fontId="99" fillId="0" borderId="8" xfId="0" applyFont="1" applyFill="1" applyBorder="1" applyAlignment="1">
      <alignment horizontal="left" vertical="center"/>
    </xf>
    <xf numFmtId="0" fontId="14" fillId="0" borderId="8" xfId="0" applyFont="1" applyFill="1" applyBorder="1" applyAlignment="1">
      <alignment horizontal="left" vertical="center" wrapText="1"/>
    </xf>
    <xf numFmtId="164" fontId="10" fillId="0" borderId="7" xfId="2" applyNumberFormat="1" applyFont="1" applyFill="1" applyBorder="1" applyAlignment="1">
      <alignment horizontal="center" vertical="top" wrapText="1"/>
    </xf>
    <xf numFmtId="164" fontId="10" fillId="0" borderId="8" xfId="2" applyNumberFormat="1" applyFont="1" applyFill="1" applyBorder="1" applyAlignment="1">
      <alignment horizontal="center" vertical="top" wrapText="1"/>
    </xf>
    <xf numFmtId="164" fontId="10" fillId="0" borderId="9" xfId="2" applyNumberFormat="1" applyFont="1" applyFill="1" applyBorder="1" applyAlignment="1">
      <alignment horizontal="center" vertical="top" wrapText="1"/>
    </xf>
    <xf numFmtId="0" fontId="99" fillId="0" borderId="0" xfId="0" applyFont="1" applyFill="1" applyBorder="1"/>
    <xf numFmtId="0" fontId="101" fillId="0" borderId="7" xfId="0" applyFont="1" applyFill="1" applyBorder="1" applyAlignment="1">
      <alignment horizontal="left" vertical="center"/>
    </xf>
    <xf numFmtId="0" fontId="48" fillId="0" borderId="7" xfId="0" applyFont="1" applyFill="1" applyBorder="1" applyAlignment="1">
      <alignment horizontal="left" vertical="center"/>
    </xf>
    <xf numFmtId="0" fontId="48" fillId="0" borderId="8" xfId="0" applyFont="1" applyFill="1" applyBorder="1" applyAlignment="1">
      <alignment horizontal="left" vertical="center"/>
    </xf>
    <xf numFmtId="0" fontId="10" fillId="0" borderId="8" xfId="0" applyFont="1" applyFill="1" applyBorder="1" applyAlignment="1">
      <alignment horizontal="left" vertical="center" wrapText="1"/>
    </xf>
    <xf numFmtId="41" fontId="10" fillId="0" borderId="8" xfId="0" applyNumberFormat="1" applyFont="1" applyFill="1" applyBorder="1" applyAlignment="1">
      <alignment horizontal="left" vertical="center" wrapText="1"/>
    </xf>
    <xf numFmtId="41" fontId="14" fillId="0" borderId="0" xfId="0" applyNumberFormat="1" applyFont="1" applyFill="1" applyBorder="1" applyAlignment="1">
      <alignment horizontal="center" vertical="top" wrapText="1"/>
    </xf>
    <xf numFmtId="0" fontId="14" fillId="0" borderId="0" xfId="0" applyFont="1" applyFill="1" applyAlignment="1">
      <alignment horizontal="justify" vertical="center" wrapText="1"/>
    </xf>
    <xf numFmtId="164" fontId="10" fillId="0" borderId="0" xfId="2" applyNumberFormat="1" applyFont="1" applyFill="1" applyBorder="1" applyAlignment="1">
      <alignment horizontal="left" vertical="top" wrapText="1"/>
    </xf>
    <xf numFmtId="0" fontId="14" fillId="0" borderId="0" xfId="0" applyFont="1" applyFill="1" applyBorder="1" applyAlignment="1">
      <alignment vertical="center" wrapText="1"/>
    </xf>
    <xf numFmtId="0" fontId="48" fillId="0" borderId="7" xfId="0" applyFont="1" applyFill="1" applyBorder="1" applyAlignment="1"/>
    <xf numFmtId="0" fontId="48" fillId="0" borderId="9" xfId="0" applyFont="1" applyFill="1" applyBorder="1" applyAlignment="1">
      <alignment vertical="center"/>
    </xf>
    <xf numFmtId="0" fontId="99" fillId="0" borderId="7" xfId="0" applyFont="1" applyFill="1" applyBorder="1" applyAlignment="1">
      <alignment horizontal="center"/>
    </xf>
    <xf numFmtId="0" fontId="99" fillId="0" borderId="8" xfId="0" applyFont="1" applyFill="1" applyBorder="1" applyAlignment="1">
      <alignment horizontal="left" wrapText="1"/>
    </xf>
    <xf numFmtId="0" fontId="99" fillId="0" borderId="9" xfId="0" applyFont="1" applyFill="1" applyBorder="1" applyAlignment="1">
      <alignment horizontal="left" wrapText="1"/>
    </xf>
    <xf numFmtId="0" fontId="99" fillId="0" borderId="9" xfId="0" applyFont="1" applyFill="1" applyBorder="1" applyAlignment="1">
      <alignment vertical="center"/>
    </xf>
    <xf numFmtId="164" fontId="10" fillId="0" borderId="7" xfId="2" applyNumberFormat="1" applyFont="1" applyFill="1" applyBorder="1" applyAlignment="1">
      <alignment horizontal="center" vertical="top" wrapText="1"/>
    </xf>
    <xf numFmtId="164" fontId="10" fillId="0" borderId="8" xfId="2" applyNumberFormat="1" applyFont="1" applyFill="1" applyBorder="1" applyAlignment="1">
      <alignment horizontal="center" vertical="top" wrapText="1"/>
    </xf>
    <xf numFmtId="164" fontId="10" fillId="0" borderId="9" xfId="2" applyNumberFormat="1" applyFont="1" applyFill="1" applyBorder="1" applyAlignment="1">
      <alignment horizontal="center" vertical="top" wrapText="1"/>
    </xf>
    <xf numFmtId="41" fontId="10" fillId="0" borderId="0" xfId="0" applyNumberFormat="1" applyFont="1" applyFill="1" applyBorder="1" applyAlignment="1">
      <alignment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99" fillId="0" borderId="7" xfId="0" applyFont="1" applyFill="1" applyBorder="1" applyAlignment="1">
      <alignment horizontal="center" vertical="center"/>
    </xf>
    <xf numFmtId="41" fontId="10" fillId="0" borderId="2" xfId="0" applyNumberFormat="1" applyFont="1" applyFill="1" applyBorder="1" applyAlignment="1">
      <alignment horizontal="center" vertical="center" wrapText="1"/>
    </xf>
    <xf numFmtId="0" fontId="20"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wrapText="1"/>
    </xf>
    <xf numFmtId="0" fontId="100" fillId="0" borderId="7" xfId="0" applyFont="1" applyFill="1" applyBorder="1" applyAlignment="1">
      <alignment vertical="center" wrapText="1"/>
    </xf>
    <xf numFmtId="0" fontId="100" fillId="0" borderId="8" xfId="0" applyFont="1" applyFill="1" applyBorder="1" applyAlignment="1">
      <alignment vertical="center" wrapText="1"/>
    </xf>
    <xf numFmtId="0" fontId="100" fillId="0" borderId="9"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64" fontId="14" fillId="0" borderId="7" xfId="2" applyNumberFormat="1" applyFont="1" applyFill="1" applyBorder="1" applyAlignment="1">
      <alignment horizontal="left" vertical="center" wrapText="1"/>
    </xf>
    <xf numFmtId="164" fontId="14" fillId="0" borderId="8" xfId="2" applyNumberFormat="1" applyFont="1" applyFill="1" applyBorder="1" applyAlignment="1">
      <alignment horizontal="left" vertical="center" wrapText="1"/>
    </xf>
    <xf numFmtId="164" fontId="14" fillId="0" borderId="9" xfId="2" applyNumberFormat="1" applyFont="1" applyFill="1" applyBorder="1" applyAlignment="1">
      <alignment horizontal="left" vertical="center" wrapText="1"/>
    </xf>
    <xf numFmtId="0" fontId="4"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quotePrefix="1" applyFont="1" applyFill="1" applyBorder="1" applyAlignment="1">
      <alignment vertical="center" wrapText="1"/>
    </xf>
    <xf numFmtId="0" fontId="105" fillId="0" borderId="7" xfId="0" applyFont="1" applyFill="1" applyBorder="1" applyAlignment="1">
      <alignment vertical="center" wrapText="1"/>
    </xf>
    <xf numFmtId="0" fontId="105" fillId="0" borderId="8" xfId="0" applyFont="1" applyFill="1" applyBorder="1" applyAlignment="1">
      <alignment vertical="center" wrapText="1"/>
    </xf>
    <xf numFmtId="0" fontId="105" fillId="0" borderId="9"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20" fillId="0" borderId="5" xfId="0" applyFont="1" applyFill="1" applyBorder="1" applyAlignment="1">
      <alignment horizontal="center" vertical="top" wrapText="1"/>
    </xf>
    <xf numFmtId="0" fontId="20" fillId="0" borderId="0" xfId="0" applyFont="1" applyFill="1" applyBorder="1" applyAlignment="1">
      <alignment horizontal="center" vertical="center"/>
    </xf>
    <xf numFmtId="0" fontId="3" fillId="0" borderId="0" xfId="0" applyFont="1" applyFill="1" applyBorder="1" applyAlignment="1">
      <alignment vertical="center" wrapText="1"/>
    </xf>
    <xf numFmtId="0" fontId="7" fillId="0" borderId="0" xfId="0" applyFont="1" applyFill="1" applyBorder="1" applyAlignment="1">
      <alignment vertical="top"/>
    </xf>
    <xf numFmtId="0" fontId="106" fillId="0" borderId="0" xfId="0" applyFont="1" applyFill="1" applyAlignment="1">
      <alignment vertical="top"/>
    </xf>
    <xf numFmtId="0" fontId="14" fillId="0" borderId="0" xfId="0" applyFont="1" applyFill="1" applyAlignment="1">
      <alignment horizontal="left" vertical="center" wrapText="1"/>
    </xf>
    <xf numFmtId="0" fontId="10" fillId="0" borderId="0" xfId="0" applyFont="1" applyFill="1" applyAlignment="1">
      <alignment horizontal="left" vertical="center" wrapText="1"/>
    </xf>
    <xf numFmtId="0" fontId="3" fillId="0" borderId="0" xfId="0" quotePrefix="1" applyFont="1" applyFill="1" applyAlignment="1">
      <alignment vertical="top"/>
    </xf>
    <xf numFmtId="0" fontId="107" fillId="0" borderId="0" xfId="0" applyFont="1" applyFill="1" applyBorder="1" applyAlignment="1">
      <alignment horizontal="left" vertical="top" wrapText="1"/>
    </xf>
    <xf numFmtId="0" fontId="37" fillId="0" borderId="0" xfId="0" applyFont="1" applyFill="1" applyBorder="1" applyAlignment="1">
      <alignment vertical="top" wrapText="1"/>
    </xf>
    <xf numFmtId="164" fontId="37" fillId="0" borderId="0" xfId="2" applyNumberFormat="1" applyFont="1" applyFill="1" applyBorder="1" applyAlignment="1">
      <alignment horizontal="center" vertical="top" wrapText="1"/>
    </xf>
    <xf numFmtId="0" fontId="37" fillId="0" borderId="0" xfId="0" applyFont="1" applyFill="1" applyBorder="1" applyAlignment="1">
      <alignment horizontal="left" vertical="top" wrapText="1"/>
    </xf>
    <xf numFmtId="168" fontId="47" fillId="0" borderId="0" xfId="0" applyNumberFormat="1" applyFont="1" applyFill="1" applyAlignment="1">
      <alignment horizontal="left" vertical="top" wrapText="1"/>
    </xf>
    <xf numFmtId="0" fontId="107" fillId="0" borderId="0" xfId="0" applyFont="1" applyFill="1" applyBorder="1" applyAlignment="1">
      <alignment horizontal="left" vertical="top" wrapText="1"/>
    </xf>
    <xf numFmtId="168" fontId="108" fillId="0" borderId="0" xfId="0" applyNumberFormat="1" applyFont="1" applyFill="1" applyBorder="1" applyAlignment="1">
      <alignment horizontal="center" vertical="top" wrapText="1"/>
    </xf>
    <xf numFmtId="0" fontId="108" fillId="0" borderId="0" xfId="0" applyFont="1" applyFill="1" applyBorder="1" applyAlignment="1">
      <alignment horizontal="center" vertical="top" wrapText="1"/>
    </xf>
    <xf numFmtId="168" fontId="107" fillId="0" borderId="0" xfId="0" applyNumberFormat="1" applyFont="1" applyFill="1" applyBorder="1" applyAlignment="1">
      <alignment horizontal="center" vertical="top" wrapText="1"/>
    </xf>
    <xf numFmtId="0" fontId="107" fillId="0" borderId="0" xfId="0" applyFont="1" applyFill="1" applyBorder="1" applyAlignment="1">
      <alignment horizontal="center" vertical="top" wrapText="1"/>
    </xf>
    <xf numFmtId="0" fontId="6" fillId="0" borderId="0" xfId="0" applyFont="1" applyFill="1" applyAlignment="1">
      <alignment horizontal="center"/>
    </xf>
    <xf numFmtId="0" fontId="109" fillId="0" borderId="0" xfId="0" applyFont="1" applyFill="1" applyAlignment="1">
      <alignment horizontal="justify"/>
    </xf>
    <xf numFmtId="0" fontId="103" fillId="0" borderId="0" xfId="0" applyFont="1" applyFill="1" applyBorder="1" applyAlignment="1">
      <alignment horizontal="justify" vertical="center"/>
    </xf>
    <xf numFmtId="0" fontId="110" fillId="0" borderId="0" xfId="4" applyFont="1" applyFill="1" applyBorder="1" applyAlignment="1">
      <alignment horizontal="center" vertical="center"/>
    </xf>
    <xf numFmtId="0" fontId="110" fillId="0" borderId="0" xfId="4" applyNumberFormat="1" applyFont="1" applyFill="1" applyBorder="1" applyAlignment="1">
      <alignment horizontal="center" wrapText="1"/>
    </xf>
    <xf numFmtId="0" fontId="110" fillId="0" borderId="0" xfId="4" applyFont="1" applyFill="1" applyBorder="1"/>
    <xf numFmtId="49" fontId="111" fillId="0" borderId="0" xfId="0" applyNumberFormat="1" applyFont="1" applyFill="1" applyBorder="1" applyAlignment="1">
      <alignment horizontal="center" vertical="center"/>
    </xf>
    <xf numFmtId="0" fontId="110" fillId="0" borderId="0" xfId="4" applyNumberFormat="1" applyFont="1" applyFill="1" applyBorder="1" applyAlignment="1">
      <alignment horizontal="center"/>
    </xf>
    <xf numFmtId="0" fontId="103" fillId="0" borderId="0" xfId="0" applyFont="1" applyFill="1" applyBorder="1" applyAlignment="1">
      <alignment horizontal="right" vertical="center"/>
    </xf>
    <xf numFmtId="49" fontId="103" fillId="0" borderId="0" xfId="0" applyNumberFormat="1" applyFont="1" applyFill="1" applyBorder="1" applyAlignment="1">
      <alignment horizontal="center"/>
    </xf>
    <xf numFmtId="0" fontId="103" fillId="0" borderId="0" xfId="0" applyFont="1" applyFill="1" applyAlignment="1">
      <alignment horizontal="justify"/>
    </xf>
    <xf numFmtId="0" fontId="103" fillId="0" borderId="0" xfId="0" applyFont="1" applyFill="1" applyAlignment="1">
      <alignment vertical="top" wrapText="1"/>
    </xf>
    <xf numFmtId="0" fontId="97" fillId="0" borderId="0" xfId="0" applyFont="1" applyFill="1" applyAlignment="1">
      <alignment horizontal="left" vertical="top" wrapText="1" indent="8"/>
    </xf>
    <xf numFmtId="0" fontId="97" fillId="0" borderId="0" xfId="0" applyFont="1" applyFill="1" applyAlignment="1">
      <alignment horizontal="center" vertical="top" wrapText="1"/>
    </xf>
    <xf numFmtId="0" fontId="103" fillId="0" borderId="0" xfId="0" applyFont="1" applyFill="1" applyAlignment="1">
      <alignment horizontal="center" vertical="top" wrapText="1"/>
    </xf>
    <xf numFmtId="0" fontId="103" fillId="0" borderId="0" xfId="0" applyFont="1" applyFill="1" applyAlignment="1">
      <alignment vertical="top" wrapText="1"/>
    </xf>
  </cellXfs>
  <cellStyles count="59">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0]" xfId="2" builtinId="6"/>
    <cellStyle name="Comma [0] 2" xfId="32"/>
    <cellStyle name="Comma [0] 3" xfId="33"/>
    <cellStyle name="Comma 2" xfId="34"/>
    <cellStyle name="Comma 2 2" xfId="35"/>
    <cellStyle name="Comma 3" xfId="36"/>
    <cellStyle name="Comma 4" xfId="37"/>
    <cellStyle name="Comma 5" xfId="38"/>
    <cellStyle name="Comma 6" xfId="39"/>
    <cellStyle name="Comma 7" xfId="40"/>
    <cellStyle name="Comma 8" xfId="41"/>
    <cellStyle name="Explanatory Text 2" xfId="42"/>
    <cellStyle name="Good 2" xfId="43"/>
    <cellStyle name="Heading 1 2" xfId="44"/>
    <cellStyle name="Heading 2 2" xfId="45"/>
    <cellStyle name="Heading 3 2" xfId="46"/>
    <cellStyle name="Heading 4 2" xfId="47"/>
    <cellStyle name="Input 2" xfId="48"/>
    <cellStyle name="Linked Cell 2" xfId="49"/>
    <cellStyle name="Neutral 2" xfId="50"/>
    <cellStyle name="Normal" xfId="0" builtinId="0"/>
    <cellStyle name="Normal 2" xfId="3"/>
    <cellStyle name="Normal 3 3" xfId="51"/>
    <cellStyle name="Normal 5" xfId="52"/>
    <cellStyle name="Normal 7" xfId="4"/>
    <cellStyle name="Normal 9" xfId="53"/>
    <cellStyle name="Note 2" xfId="54"/>
    <cellStyle name="Output 2" xfId="55"/>
    <cellStyle name="Title 2" xfId="56"/>
    <cellStyle name="Total 2" xfId="57"/>
    <cellStyle name="Warning Text 2" xfId="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976958525345621"/>
          <c:y val="0.11304347826086956"/>
          <c:w val="0.62903225806451635"/>
          <c:h val="0.53913043478260858"/>
        </c:manualLayout>
      </c:layout>
      <c:barChart>
        <c:barDir val="col"/>
        <c:grouping val="clustered"/>
        <c:ser>
          <c:idx val="0"/>
          <c:order val="0"/>
          <c:tx>
            <c:strRef>
              <c:f>'Calk Umum'!$AB$341</c:f>
              <c:strCache>
                <c:ptCount val="1"/>
                <c:pt idx="0">
                  <c:v>Anggaran</c:v>
                </c:pt>
              </c:strCache>
            </c:strRef>
          </c:tx>
          <c:cat>
            <c:strRef>
              <c:f>'Calk Umum'!$V$342:$AA$345</c:f>
              <c:strCache>
                <c:ptCount val="4"/>
                <c:pt idx="0">
                  <c:v>BELANJA OPERASI</c:v>
                </c:pt>
                <c:pt idx="1">
                  <c:v>BELANJA MODAL</c:v>
                </c:pt>
                <c:pt idx="2">
                  <c:v>BELANJA TAK TERDUGA</c:v>
                </c:pt>
                <c:pt idx="3">
                  <c:v>TRANSFER</c:v>
                </c:pt>
              </c:strCache>
            </c:strRef>
          </c:cat>
          <c:val>
            <c:numRef>
              <c:f>'Calk Umum'!$AB$342:$AB$345</c:f>
              <c:numCache>
                <c:formatCode>_(* #,##0_);_(* \(#,##0\);_(* "-"_);_(@_)</c:formatCode>
                <c:ptCount val="4"/>
                <c:pt idx="0">
                  <c:v>31158545710</c:v>
                </c:pt>
                <c:pt idx="1">
                  <c:v>120018163510</c:v>
                </c:pt>
                <c:pt idx="2">
                  <c:v>0</c:v>
                </c:pt>
                <c:pt idx="3">
                  <c:v>0</c:v>
                </c:pt>
              </c:numCache>
            </c:numRef>
          </c:val>
        </c:ser>
        <c:ser>
          <c:idx val="1"/>
          <c:order val="1"/>
          <c:tx>
            <c:strRef>
              <c:f>'Calk Umum'!$AF$341</c:f>
              <c:strCache>
                <c:ptCount val="1"/>
                <c:pt idx="0">
                  <c:v>Realisasi </c:v>
                </c:pt>
              </c:strCache>
            </c:strRef>
          </c:tx>
          <c:cat>
            <c:strRef>
              <c:f>'Calk Umum'!$V$342:$AA$345</c:f>
              <c:strCache>
                <c:ptCount val="4"/>
                <c:pt idx="0">
                  <c:v>BELANJA OPERASI</c:v>
                </c:pt>
                <c:pt idx="1">
                  <c:v>BELANJA MODAL</c:v>
                </c:pt>
                <c:pt idx="2">
                  <c:v>BELANJA TAK TERDUGA</c:v>
                </c:pt>
                <c:pt idx="3">
                  <c:v>TRANSFER</c:v>
                </c:pt>
              </c:strCache>
            </c:strRef>
          </c:cat>
          <c:val>
            <c:numRef>
              <c:f>'Calk Umum'!$AF$342:$AF$345</c:f>
              <c:numCache>
                <c:formatCode>_(* #,##0_);_(* \(#,##0\);_(* "-"_);_(@_)</c:formatCode>
                <c:ptCount val="4"/>
                <c:pt idx="0">
                  <c:v>29077125184</c:v>
                </c:pt>
                <c:pt idx="1">
                  <c:v>108399309790</c:v>
                </c:pt>
                <c:pt idx="2">
                  <c:v>0</c:v>
                </c:pt>
                <c:pt idx="3">
                  <c:v>0</c:v>
                </c:pt>
              </c:numCache>
            </c:numRef>
          </c:val>
        </c:ser>
        <c:axId val="52795648"/>
        <c:axId val="52805632"/>
      </c:barChart>
      <c:catAx>
        <c:axId val="52795648"/>
        <c:scaling>
          <c:orientation val="minMax"/>
        </c:scaling>
        <c:axPos val="b"/>
        <c:numFmt formatCode="General"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805632"/>
        <c:crosses val="autoZero"/>
        <c:auto val="1"/>
        <c:lblAlgn val="ctr"/>
        <c:lblOffset val="100"/>
      </c:catAx>
      <c:valAx>
        <c:axId val="52805632"/>
        <c:scaling>
          <c:orientation val="minMax"/>
        </c:scaling>
        <c:axPos val="l"/>
        <c:majorGridlines/>
        <c:numFmt formatCode="_(* #,##0_);_(* \(#,##0\);_(* &quot;-&quot;_);_(@_)"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795648"/>
        <c:crosses val="autoZero"/>
        <c:crossBetween val="between"/>
      </c:valAx>
    </c:plotArea>
    <c:legend>
      <c:legendPos val="r"/>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336</xdr:row>
      <xdr:rowOff>9525</xdr:rowOff>
    </xdr:from>
    <xdr:to>
      <xdr:col>19</xdr:col>
      <xdr:colOff>114300</xdr:colOff>
      <xdr:row>344</xdr:row>
      <xdr:rowOff>114300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ATA%20KANTOR%20DPU\DESK%20PPID\LKD%202017\4%20-%20CALK%20APBD%202017%20EXEL\KONSEP%20CALK%20EVLAP%20-SKP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4.%20DINAS%20PEKERJAAN%20UMUM%20DAN%20PENATAAN%20RUANG%2019-03-2018%20B%20un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BACA DULU"/>
      <sheetName val="2.ISIAN DATA SKPD"/>
      <sheetName val="3.LRA"/>
      <sheetName val="4.NERACA"/>
      <sheetName val="5.LO"/>
      <sheetName val="6.LPE"/>
      <sheetName val="SAMPUL"/>
      <sheetName val="Depan"/>
      <sheetName val="Template LRA"/>
      <sheetName val="Template Neraca"/>
      <sheetName val="Template LO"/>
      <sheetName val="Template LPE"/>
      <sheetName val="Calk Umum"/>
      <sheetName val="Sheet1"/>
    </sheetNames>
    <sheetDataSet>
      <sheetData sheetId="0"/>
      <sheetData sheetId="1">
        <row r="2">
          <cell r="D2" t="str">
            <v>Dinas Pekerjaan Umum dan Penataan Ruang</v>
          </cell>
        </row>
        <row r="8">
          <cell r="D8" t="str">
            <v>31 Desember 2017</v>
          </cell>
        </row>
        <row r="9">
          <cell r="D9" t="str">
            <v>31 Desember 2016</v>
          </cell>
        </row>
        <row r="10">
          <cell r="D10" t="str">
            <v>31 Desember 2017</v>
          </cell>
        </row>
        <row r="11">
          <cell r="D11">
            <v>2017</v>
          </cell>
        </row>
        <row r="12">
          <cell r="D12">
            <v>2016</v>
          </cell>
        </row>
        <row r="13">
          <cell r="D13" t="str">
            <v>Ir.WIDI PURWANTO,MT</v>
          </cell>
        </row>
        <row r="14">
          <cell r="D14" t="str">
            <v>196207171991021001</v>
          </cell>
        </row>
        <row r="16">
          <cell r="K16">
            <v>-508409950</v>
          </cell>
        </row>
        <row r="19">
          <cell r="D19" t="str">
            <v>15  Februari 2018</v>
          </cell>
        </row>
        <row r="405">
          <cell r="D405">
            <v>0</v>
          </cell>
        </row>
        <row r="406">
          <cell r="D406">
            <v>0</v>
          </cell>
        </row>
      </sheetData>
      <sheetData sheetId="2">
        <row r="5">
          <cell r="D5">
            <v>185000000</v>
          </cell>
          <cell r="E5">
            <v>185000000</v>
          </cell>
        </row>
        <row r="6">
          <cell r="D6">
            <v>0</v>
          </cell>
          <cell r="E6">
            <v>0</v>
          </cell>
        </row>
        <row r="7">
          <cell r="D7">
            <v>105000000</v>
          </cell>
          <cell r="E7">
            <v>105000000</v>
          </cell>
        </row>
        <row r="10">
          <cell r="D10">
            <v>28747046620</v>
          </cell>
          <cell r="E10">
            <v>31158545710</v>
          </cell>
        </row>
        <row r="11">
          <cell r="D11">
            <v>125287058010</v>
          </cell>
          <cell r="E11">
            <v>120018163510</v>
          </cell>
        </row>
        <row r="12">
          <cell r="D12">
            <v>0</v>
          </cell>
          <cell r="E12">
            <v>0</v>
          </cell>
        </row>
        <row r="13">
          <cell r="D13">
            <v>0</v>
          </cell>
          <cell r="E13">
            <v>0</v>
          </cell>
        </row>
        <row r="18">
          <cell r="D18">
            <v>290000000</v>
          </cell>
          <cell r="E18">
            <v>534830700</v>
          </cell>
          <cell r="G18">
            <v>244830700</v>
          </cell>
          <cell r="I18">
            <v>1043240650</v>
          </cell>
          <cell r="K18">
            <v>-48.733717383424427</v>
          </cell>
        </row>
        <row r="20">
          <cell r="D20">
            <v>0</v>
          </cell>
          <cell r="E20">
            <v>0</v>
          </cell>
          <cell r="I20">
            <v>0</v>
          </cell>
        </row>
        <row r="21">
          <cell r="D21">
            <v>185000000</v>
          </cell>
          <cell r="E21">
            <v>188721200</v>
          </cell>
          <cell r="I21">
            <v>95949000</v>
          </cell>
        </row>
        <row r="22">
          <cell r="D22">
            <v>0</v>
          </cell>
          <cell r="E22">
            <v>0</v>
          </cell>
          <cell r="I22">
            <v>223926000</v>
          </cell>
        </row>
        <row r="23">
          <cell r="D23">
            <v>105000000</v>
          </cell>
          <cell r="E23">
            <v>346109500</v>
          </cell>
          <cell r="I23">
            <v>723365650</v>
          </cell>
        </row>
        <row r="24">
          <cell r="E24">
            <v>47960400</v>
          </cell>
        </row>
        <row r="25">
          <cell r="C25" t="str">
            <v xml:space="preserve">Pendapatan denda Keterlambatan Pelaksanaan </v>
          </cell>
          <cell r="E25">
            <v>72974050</v>
          </cell>
        </row>
        <row r="26">
          <cell r="E26">
            <v>225175050</v>
          </cell>
        </row>
        <row r="28">
          <cell r="C28" t="str">
            <v>Transfer Pemerintah Pusat ( Dana Perimbangan)</v>
          </cell>
          <cell r="D28">
            <v>0</v>
          </cell>
          <cell r="E28">
            <v>0</v>
          </cell>
          <cell r="I28">
            <v>0</v>
          </cell>
        </row>
        <row r="29">
          <cell r="C29" t="str">
            <v>Transfer Pemerintah Pusat Lainnya</v>
          </cell>
          <cell r="D29">
            <v>0</v>
          </cell>
          <cell r="E29">
            <v>0</v>
          </cell>
          <cell r="I29">
            <v>0</v>
          </cell>
        </row>
        <row r="30">
          <cell r="C30" t="str">
            <v>Transfer Pemerintah Profinsi</v>
          </cell>
          <cell r="D30">
            <v>0</v>
          </cell>
          <cell r="E30">
            <v>0</v>
          </cell>
          <cell r="I30">
            <v>0</v>
          </cell>
        </row>
        <row r="32">
          <cell r="C32" t="str">
            <v>Pendapatan Hibah</v>
          </cell>
          <cell r="D32">
            <v>0</v>
          </cell>
          <cell r="E32">
            <v>0</v>
          </cell>
          <cell r="I32">
            <v>0</v>
          </cell>
        </row>
        <row r="33">
          <cell r="C33" t="str">
            <v>Pendapatan Dana darurat</v>
          </cell>
          <cell r="D33">
            <v>0</v>
          </cell>
          <cell r="E33">
            <v>0</v>
          </cell>
          <cell r="I33">
            <v>0</v>
          </cell>
        </row>
        <row r="34">
          <cell r="C34" t="str">
            <v>Pendapatan Lainnya</v>
          </cell>
          <cell r="D34">
            <v>0</v>
          </cell>
          <cell r="E34">
            <v>0</v>
          </cell>
          <cell r="I34">
            <v>0</v>
          </cell>
        </row>
        <row r="39">
          <cell r="D39">
            <v>151176709220</v>
          </cell>
          <cell r="E39">
            <v>137476434974</v>
          </cell>
          <cell r="I39">
            <v>155046108602</v>
          </cell>
        </row>
        <row r="40">
          <cell r="C40" t="str">
            <v>BELANJA OPERASI</v>
          </cell>
          <cell r="D40">
            <v>31158545710</v>
          </cell>
          <cell r="E40">
            <v>29077125184</v>
          </cell>
          <cell r="I40">
            <v>33886180038</v>
          </cell>
        </row>
        <row r="41">
          <cell r="C41" t="str">
            <v>Belanja Pegawai</v>
          </cell>
          <cell r="D41">
            <v>10368233555</v>
          </cell>
          <cell r="E41">
            <v>9677969811</v>
          </cell>
          <cell r="I41">
            <v>13282497941</v>
          </cell>
        </row>
        <row r="42">
          <cell r="C42" t="str">
            <v xml:space="preserve"> Gaji dan Tunjangan Pegawai</v>
          </cell>
          <cell r="D42">
            <v>7121974555</v>
          </cell>
          <cell r="E42">
            <v>6688753849</v>
          </cell>
          <cell r="I42">
            <v>9437058969</v>
          </cell>
        </row>
        <row r="43">
          <cell r="C43" t="str">
            <v>Tambahan Penghasilan PNS</v>
          </cell>
          <cell r="D43">
            <v>3154800000</v>
          </cell>
          <cell r="E43">
            <v>2909809500</v>
          </cell>
          <cell r="I43">
            <v>3638636300</v>
          </cell>
        </row>
        <row r="44">
          <cell r="C44" t="str">
            <v xml:space="preserve"> Insentif Pemungutan Pajak</v>
          </cell>
          <cell r="D44">
            <v>0</v>
          </cell>
          <cell r="E44">
            <v>0</v>
          </cell>
          <cell r="I44">
            <v>0</v>
          </cell>
        </row>
        <row r="45">
          <cell r="C45" t="str">
            <v>Insentif Pemungutan Retribusi</v>
          </cell>
          <cell r="D45">
            <v>9250000</v>
          </cell>
          <cell r="E45">
            <v>3944462</v>
          </cell>
          <cell r="I45">
            <v>11175672</v>
          </cell>
        </row>
        <row r="46">
          <cell r="C46" t="str">
            <v xml:space="preserve"> Honor Non PNS</v>
          </cell>
          <cell r="D46">
            <v>0</v>
          </cell>
          <cell r="E46">
            <v>0</v>
          </cell>
          <cell r="I46">
            <v>0</v>
          </cell>
        </row>
        <row r="47">
          <cell r="C47" t="str">
            <v>Uang Lembur</v>
          </cell>
          <cell r="D47">
            <v>82209000</v>
          </cell>
          <cell r="E47">
            <v>75462000</v>
          </cell>
          <cell r="I47">
            <v>195627000</v>
          </cell>
        </row>
        <row r="48">
          <cell r="C48" t="str">
            <v>Belanja Pegawai BLUD</v>
          </cell>
          <cell r="D48">
            <v>0</v>
          </cell>
          <cell r="E48">
            <v>0</v>
          </cell>
          <cell r="I48">
            <v>0</v>
          </cell>
        </row>
        <row r="49">
          <cell r="C49" t="str">
            <v>Belanja Barang dan Jasa</v>
          </cell>
          <cell r="D49">
            <v>20790312155</v>
          </cell>
          <cell r="E49">
            <v>19399155373</v>
          </cell>
          <cell r="I49">
            <v>20603682097</v>
          </cell>
          <cell r="K49">
            <v>-5.8461721469454488</v>
          </cell>
          <cell r="L49">
            <v>-1204526724</v>
          </cell>
        </row>
        <row r="50">
          <cell r="C50" t="str">
            <v>Belanja Bahan Pakai Habis</v>
          </cell>
          <cell r="D50">
            <v>161640360</v>
          </cell>
          <cell r="E50">
            <v>138287534</v>
          </cell>
          <cell r="I50">
            <v>642417759</v>
          </cell>
        </row>
        <row r="51">
          <cell r="C51" t="str">
            <v>Belanja Bahan/Material</v>
          </cell>
          <cell r="D51">
            <v>3413272319</v>
          </cell>
          <cell r="E51">
            <v>3343614085</v>
          </cell>
          <cell r="I51">
            <v>6251803628</v>
          </cell>
        </row>
        <row r="52">
          <cell r="C52" t="str">
            <v>Belanja Jasa Kantor</v>
          </cell>
          <cell r="D52">
            <v>9325286000</v>
          </cell>
          <cell r="E52">
            <v>8889274413</v>
          </cell>
          <cell r="I52">
            <v>6523071107</v>
          </cell>
        </row>
        <row r="53">
          <cell r="C53" t="str">
            <v>Belanja Perawatan Kendaraan Bermotor</v>
          </cell>
          <cell r="D53">
            <v>348983620</v>
          </cell>
          <cell r="E53">
            <v>309008104</v>
          </cell>
          <cell r="I53">
            <v>1723789876</v>
          </cell>
        </row>
        <row r="54">
          <cell r="C54" t="str">
            <v>Belanja Cetak dan Penggandaan</v>
          </cell>
          <cell r="D54">
            <v>114234325</v>
          </cell>
          <cell r="E54">
            <v>100209560</v>
          </cell>
          <cell r="I54">
            <v>135258690</v>
          </cell>
        </row>
        <row r="55">
          <cell r="C55" t="str">
            <v>Belanja Sewa Rumah/Gedung/ Gudang/Parkir</v>
          </cell>
          <cell r="D55">
            <v>0</v>
          </cell>
          <cell r="E55">
            <v>0</v>
          </cell>
          <cell r="I55">
            <v>1300000</v>
          </cell>
        </row>
        <row r="56">
          <cell r="C56" t="str">
            <v>Belanja Sewa Sarana Mobilitas</v>
          </cell>
          <cell r="D56">
            <v>20500000</v>
          </cell>
          <cell r="E56">
            <v>20500000</v>
          </cell>
          <cell r="I56">
            <v>24650000</v>
          </cell>
        </row>
        <row r="57">
          <cell r="C57" t="str">
            <v>Belanja Sewa Perlengkapan dan Peralatan Kantor</v>
          </cell>
          <cell r="D57">
            <v>9905000</v>
          </cell>
          <cell r="E57">
            <v>9905000</v>
          </cell>
          <cell r="I57">
            <v>16135000</v>
          </cell>
        </row>
        <row r="58">
          <cell r="C58" t="str">
            <v>Belanja Makanan dan Minuman</v>
          </cell>
          <cell r="D58">
            <v>196438500</v>
          </cell>
          <cell r="E58">
            <v>123524000</v>
          </cell>
          <cell r="I58">
            <v>264545000</v>
          </cell>
        </row>
        <row r="59">
          <cell r="C59" t="str">
            <v>Belanja Pakaian Dinas dan Atributnya</v>
          </cell>
          <cell r="D59">
            <v>5250000</v>
          </cell>
          <cell r="E59">
            <v>5250000</v>
          </cell>
          <cell r="I59">
            <v>115407800</v>
          </cell>
        </row>
        <row r="60">
          <cell r="C60" t="str">
            <v>Belanja Perjalanan Dinas</v>
          </cell>
          <cell r="D60">
            <v>654749031</v>
          </cell>
          <cell r="E60">
            <v>480246977</v>
          </cell>
          <cell r="I60">
            <v>534439787</v>
          </cell>
        </row>
        <row r="61">
          <cell r="C61" t="str">
            <v>Belanja Pemeliharaan</v>
          </cell>
          <cell r="D61">
            <v>0</v>
          </cell>
          <cell r="E61">
            <v>0</v>
          </cell>
          <cell r="I61">
            <v>99076000</v>
          </cell>
        </row>
        <row r="62">
          <cell r="C62" t="str">
            <v>Belanja Barang yang Diserahkan kepada Masyarakat</v>
          </cell>
          <cell r="D62">
            <v>4014956000</v>
          </cell>
          <cell r="E62">
            <v>3802717200</v>
          </cell>
          <cell r="I62">
            <v>1124732450</v>
          </cell>
          <cell r="K62">
            <v>238.09971429205231</v>
          </cell>
        </row>
        <row r="63">
          <cell r="C63" t="str">
            <v>Belanaja Sewa Alat Berat</v>
          </cell>
          <cell r="D63">
            <v>178477000</v>
          </cell>
          <cell r="E63">
            <v>164935500</v>
          </cell>
          <cell r="I63">
            <v>371241000</v>
          </cell>
        </row>
        <row r="64">
          <cell r="C64" t="str">
            <v>Belanja Jasa Konsultansi Perencanaan/pengawasan</v>
          </cell>
          <cell r="D64">
            <v>1881200000</v>
          </cell>
          <cell r="E64">
            <v>1620693000</v>
          </cell>
          <cell r="I64">
            <v>2021241000</v>
          </cell>
        </row>
        <row r="65">
          <cell r="C65" t="str">
            <v>Belanja Honorarium Non Pegawai</v>
          </cell>
          <cell r="D65">
            <v>0</v>
          </cell>
          <cell r="E65">
            <v>0</v>
          </cell>
          <cell r="I65">
            <v>0</v>
          </cell>
        </row>
        <row r="66">
          <cell r="C66" t="str">
            <v>Honorarium PNS</v>
          </cell>
          <cell r="D66">
            <v>441290000</v>
          </cell>
          <cell r="E66">
            <v>370640000</v>
          </cell>
          <cell r="I66">
            <v>545963000</v>
          </cell>
        </row>
        <row r="67">
          <cell r="C67" t="str">
            <v>Honorarium Non PNS</v>
          </cell>
          <cell r="D67">
            <v>24130000</v>
          </cell>
          <cell r="E67">
            <v>20350000</v>
          </cell>
          <cell r="I67">
            <v>208610000</v>
          </cell>
        </row>
        <row r="68">
          <cell r="C68" t="str">
            <v>Belanja Stimulan, uang saku,hadiah penghargaan, penggantian biaya</v>
          </cell>
          <cell r="D68">
            <v>0</v>
          </cell>
          <cell r="E68">
            <v>0</v>
          </cell>
          <cell r="I68">
            <v>0</v>
          </cell>
        </row>
        <row r="69">
          <cell r="C69" t="str">
            <v>Belanja Barang dan Jasa BLUD</v>
          </cell>
          <cell r="D69">
            <v>0</v>
          </cell>
          <cell r="E69">
            <v>0</v>
          </cell>
          <cell r="I69">
            <v>0</v>
          </cell>
        </row>
        <row r="70">
          <cell r="C70" t="str">
            <v>BELANJA MODAL</v>
          </cell>
          <cell r="D70">
            <v>120018163510</v>
          </cell>
          <cell r="E70">
            <v>108399309790</v>
          </cell>
          <cell r="I70">
            <v>121159928564</v>
          </cell>
        </row>
        <row r="71">
          <cell r="D71">
            <v>12411732010</v>
          </cell>
        </row>
        <row r="72">
          <cell r="C72" t="str">
            <v>Belanja Modal Tanah Bangunan Gedung</v>
          </cell>
          <cell r="D72">
            <v>0</v>
          </cell>
          <cell r="E72">
            <v>0</v>
          </cell>
        </row>
        <row r="73">
          <cell r="C73" t="str">
            <v>Belanja Modal Tanah Bangunan Bukan Gedung</v>
          </cell>
          <cell r="D73">
            <v>12411732010</v>
          </cell>
          <cell r="E73">
            <v>8900427600</v>
          </cell>
          <cell r="I73">
            <v>55940000</v>
          </cell>
        </row>
        <row r="74">
          <cell r="D74">
            <v>1685000000</v>
          </cell>
        </row>
        <row r="75">
          <cell r="C75" t="str">
            <v>Pengadaan Alat Bantu/besar darat</v>
          </cell>
          <cell r="D75">
            <v>0</v>
          </cell>
          <cell r="E75">
            <v>0</v>
          </cell>
          <cell r="I75">
            <v>3838209782</v>
          </cell>
        </row>
        <row r="76">
          <cell r="C76" t="str">
            <v>Pengadaan Alat Angkutan</v>
          </cell>
          <cell r="D76">
            <v>1500000000</v>
          </cell>
          <cell r="E76">
            <v>1350056650</v>
          </cell>
          <cell r="I76">
            <v>365953500</v>
          </cell>
        </row>
        <row r="77">
          <cell r="C77" t="str">
            <v>Pengadaan Alat Kantor</v>
          </cell>
          <cell r="D77">
            <v>0</v>
          </cell>
          <cell r="E77">
            <v>0</v>
          </cell>
          <cell r="I77">
            <v>167435000</v>
          </cell>
          <cell r="L77">
            <v>-167435000</v>
          </cell>
        </row>
        <row r="78">
          <cell r="C78" t="str">
            <v>Pengadaan Alat Rumah Tangga</v>
          </cell>
          <cell r="D78">
            <v>25000000</v>
          </cell>
          <cell r="E78">
            <v>24427500</v>
          </cell>
          <cell r="I78">
            <v>139401500</v>
          </cell>
        </row>
        <row r="79">
          <cell r="C79" t="str">
            <v>Pengadaan Komputer</v>
          </cell>
          <cell r="D79">
            <v>20000000</v>
          </cell>
          <cell r="E79">
            <v>18526080</v>
          </cell>
          <cell r="I79">
            <v>175961300</v>
          </cell>
        </row>
        <row r="80">
          <cell r="C80" t="str">
            <v>Pengadaan Alat Studio</v>
          </cell>
          <cell r="D80">
            <v>40000000</v>
          </cell>
          <cell r="E80">
            <v>38785000</v>
          </cell>
          <cell r="I80">
            <v>72952232</v>
          </cell>
        </row>
        <row r="81">
          <cell r="C81" t="str">
            <v>Pengadaan Alat komunikasi</v>
          </cell>
          <cell r="D81">
            <v>0</v>
          </cell>
          <cell r="E81">
            <v>0</v>
          </cell>
          <cell r="I81">
            <v>12899000</v>
          </cell>
        </row>
        <row r="82">
          <cell r="C82" t="str">
            <v xml:space="preserve">pengadaan Alat Pemel Tanaman </v>
          </cell>
          <cell r="D82">
            <v>0</v>
          </cell>
          <cell r="E82">
            <v>0</v>
          </cell>
          <cell r="I82">
            <v>9000000</v>
          </cell>
        </row>
        <row r="83">
          <cell r="C83" t="str">
            <v>Pengadaan  alat ukur</v>
          </cell>
          <cell r="D83">
            <v>0</v>
          </cell>
          <cell r="E83">
            <v>0</v>
          </cell>
          <cell r="I83">
            <v>8000000</v>
          </cell>
        </row>
        <row r="84">
          <cell r="C84" t="str">
            <v xml:space="preserve">Pengadaan Unit-unit Laboratorium </v>
          </cell>
          <cell r="D84">
            <v>100000000</v>
          </cell>
          <cell r="E84">
            <v>97688500</v>
          </cell>
          <cell r="I84">
            <v>101275000</v>
          </cell>
        </row>
        <row r="85">
          <cell r="D85">
            <v>875000000</v>
          </cell>
        </row>
        <row r="86">
          <cell r="D86">
            <v>875000000</v>
          </cell>
          <cell r="E86">
            <v>688904500</v>
          </cell>
          <cell r="I86">
            <v>1437092999</v>
          </cell>
        </row>
        <row r="90">
          <cell r="D90">
            <v>104446431500</v>
          </cell>
        </row>
        <row r="91">
          <cell r="C91" t="str">
            <v>Jalan</v>
          </cell>
          <cell r="D91">
            <v>70162817500</v>
          </cell>
          <cell r="E91">
            <v>64793712885</v>
          </cell>
          <cell r="I91">
            <v>87579606600</v>
          </cell>
        </row>
        <row r="92">
          <cell r="C92" t="str">
            <v>Irigasi</v>
          </cell>
          <cell r="D92">
            <v>27932864000</v>
          </cell>
          <cell r="E92">
            <v>25554403575</v>
          </cell>
          <cell r="I92">
            <v>22492571151</v>
          </cell>
        </row>
        <row r="93">
          <cell r="C93" t="str">
            <v>Jembatan</v>
          </cell>
          <cell r="D93">
            <v>6350750000</v>
          </cell>
          <cell r="E93">
            <v>6345000000</v>
          </cell>
          <cell r="I93">
            <v>4703630500</v>
          </cell>
        </row>
        <row r="94">
          <cell r="D94">
            <v>600000000</v>
          </cell>
        </row>
        <row r="95">
          <cell r="C95" t="str">
            <v>- Pengadaan buku</v>
          </cell>
        </row>
        <row r="96">
          <cell r="C96" t="str">
            <v>- Pengadaan Tanaman</v>
          </cell>
          <cell r="D96">
            <v>0</v>
          </cell>
          <cell r="E96">
            <v>0</v>
          </cell>
          <cell r="I96">
            <v>0</v>
          </cell>
        </row>
        <row r="97">
          <cell r="C97" t="str">
            <v>- Pengadaan AT Renovasi</v>
          </cell>
          <cell r="D97">
            <v>600000000</v>
          </cell>
          <cell r="E97">
            <v>587377500</v>
          </cell>
          <cell r="I97">
            <v>0</v>
          </cell>
        </row>
        <row r="98">
          <cell r="C98" t="str">
            <v>Belanja Aset Lainnya</v>
          </cell>
          <cell r="D98">
            <v>0</v>
          </cell>
          <cell r="E98">
            <v>0</v>
          </cell>
          <cell r="I98">
            <v>0</v>
          </cell>
        </row>
        <row r="100">
          <cell r="C100" t="str">
            <v>BELANJA TAK TERDUGA</v>
          </cell>
          <cell r="D100">
            <v>0</v>
          </cell>
          <cell r="E100">
            <v>0</v>
          </cell>
          <cell r="I100">
            <v>0</v>
          </cell>
        </row>
        <row r="101">
          <cell r="C101" t="str">
            <v>TRANSFER</v>
          </cell>
          <cell r="D101">
            <v>0</v>
          </cell>
          <cell r="E101">
            <v>0</v>
          </cell>
          <cell r="I101">
            <v>0</v>
          </cell>
        </row>
        <row r="110">
          <cell r="D110">
            <v>0</v>
          </cell>
          <cell r="E110">
            <v>0</v>
          </cell>
          <cell r="I110">
            <v>0</v>
          </cell>
        </row>
        <row r="116">
          <cell r="D116">
            <v>0</v>
          </cell>
          <cell r="E116">
            <v>0</v>
          </cell>
          <cell r="I116">
            <v>0</v>
          </cell>
        </row>
        <row r="123">
          <cell r="C123" t="str">
            <v>Belanja Tanah</v>
          </cell>
          <cell r="E123">
            <v>8900427600</v>
          </cell>
          <cell r="F123">
            <v>55940000</v>
          </cell>
        </row>
        <row r="124">
          <cell r="C124" t="str">
            <v>Belanja Peralatan dan Mesin</v>
          </cell>
          <cell r="E124">
            <v>1529483730</v>
          </cell>
          <cell r="F124">
            <v>4891087314</v>
          </cell>
        </row>
        <row r="125">
          <cell r="C125" t="str">
            <v xml:space="preserve"> Belanja Gedung dan Bangunan</v>
          </cell>
          <cell r="E125">
            <v>688904500</v>
          </cell>
          <cell r="F125">
            <v>1437092999</v>
          </cell>
        </row>
        <row r="126">
          <cell r="C126" t="str">
            <v xml:space="preserve">Belanja Jalan, Irigasi dan Jaringan </v>
          </cell>
          <cell r="E126">
            <v>96693116460</v>
          </cell>
          <cell r="F126">
            <v>114775808251</v>
          </cell>
        </row>
        <row r="127">
          <cell r="C127" t="str">
            <v xml:space="preserve"> Belanja Aset Tetap Lainnya</v>
          </cell>
          <cell r="E127">
            <v>587377500</v>
          </cell>
          <cell r="F127">
            <v>0</v>
          </cell>
        </row>
      </sheetData>
      <sheetData sheetId="3">
        <row r="5">
          <cell r="D5">
            <v>907328464407.03003</v>
          </cell>
          <cell r="I5">
            <v>934605925106.03003</v>
          </cell>
        </row>
        <row r="7">
          <cell r="I7">
            <v>0</v>
          </cell>
        </row>
        <row r="9">
          <cell r="D9">
            <v>0</v>
          </cell>
          <cell r="I9">
            <v>0</v>
          </cell>
        </row>
        <row r="10">
          <cell r="D10">
            <v>39841000</v>
          </cell>
          <cell r="I10">
            <v>0</v>
          </cell>
        </row>
        <row r="11">
          <cell r="D11">
            <v>0</v>
          </cell>
          <cell r="I11">
            <v>0</v>
          </cell>
        </row>
        <row r="12">
          <cell r="D12">
            <v>0</v>
          </cell>
          <cell r="I12">
            <v>0</v>
          </cell>
        </row>
        <row r="14">
          <cell r="I14">
            <v>0</v>
          </cell>
        </row>
        <row r="22">
          <cell r="I22">
            <v>0</v>
          </cell>
        </row>
        <row r="23">
          <cell r="C23" t="str">
            <v>Piutang Pajak</v>
          </cell>
          <cell r="D23">
            <v>0</v>
          </cell>
          <cell r="I23">
            <v>0</v>
          </cell>
        </row>
        <row r="24">
          <cell r="C24" t="str">
            <v>Piutang Retribusi</v>
          </cell>
          <cell r="D24">
            <v>0</v>
          </cell>
          <cell r="I24">
            <v>0</v>
          </cell>
        </row>
        <row r="25">
          <cell r="C25" t="str">
            <v>Piutang Hasil Pengelolaan Kekayaan Daerah yang Dipisahkan</v>
          </cell>
          <cell r="D25">
            <v>0</v>
          </cell>
          <cell r="I25">
            <v>0</v>
          </cell>
        </row>
        <row r="26">
          <cell r="C26" t="str">
            <v>Piutang Lain-lain PAD yang Sah</v>
          </cell>
          <cell r="D26">
            <v>0</v>
          </cell>
          <cell r="I26">
            <v>0</v>
          </cell>
        </row>
        <row r="27">
          <cell r="C27" t="str">
            <v>Piutang Pendapatan Lainnya</v>
          </cell>
          <cell r="D27">
            <v>0</v>
          </cell>
          <cell r="I27">
            <v>0</v>
          </cell>
        </row>
        <row r="34">
          <cell r="I34">
            <v>0</v>
          </cell>
        </row>
        <row r="37">
          <cell r="D37">
            <v>0</v>
          </cell>
          <cell r="I37">
            <v>0</v>
          </cell>
        </row>
        <row r="38">
          <cell r="C38" t="str">
            <v>Beban Pegawai  Dibayar Dimuka</v>
          </cell>
          <cell r="D38">
            <v>0</v>
          </cell>
          <cell r="I38">
            <v>0</v>
          </cell>
        </row>
        <row r="39">
          <cell r="C39" t="str">
            <v>Beban Barang Dibayar Dimuka</v>
          </cell>
          <cell r="I39">
            <v>0</v>
          </cell>
        </row>
        <row r="40">
          <cell r="C40" t="str">
            <v>Beban Jasa Dibayar Dimuka</v>
          </cell>
          <cell r="D40">
            <v>0</v>
          </cell>
          <cell r="I40">
            <v>0</v>
          </cell>
        </row>
        <row r="41">
          <cell r="C41" t="str">
            <v>Beban Pemeliharaan Dibayar Dimuka</v>
          </cell>
          <cell r="D41">
            <v>0</v>
          </cell>
          <cell r="I41">
            <v>0</v>
          </cell>
        </row>
        <row r="42">
          <cell r="C42" t="str">
            <v>Beban Lainnya</v>
          </cell>
          <cell r="D42">
            <v>0</v>
          </cell>
        </row>
        <row r="43">
          <cell r="I43">
            <v>2152616546</v>
          </cell>
        </row>
        <row r="44">
          <cell r="C44" t="str">
            <v>Persediaan Bahan Pakai Habis</v>
          </cell>
          <cell r="D44">
            <v>12958850</v>
          </cell>
          <cell r="I44">
            <v>7003696</v>
          </cell>
        </row>
        <row r="45">
          <cell r="C45" t="str">
            <v>Persediaan Bahan/Material</v>
          </cell>
          <cell r="D45">
            <v>28549453</v>
          </cell>
          <cell r="I45">
            <v>37706850</v>
          </cell>
        </row>
        <row r="46">
          <cell r="C46" t="str">
            <v>Persediaan Barang Lainnya</v>
          </cell>
          <cell r="I46">
            <v>2107906000</v>
          </cell>
        </row>
        <row r="62">
          <cell r="D62">
            <v>288821533853</v>
          </cell>
          <cell r="E62">
            <v>0</v>
          </cell>
          <cell r="F62">
            <v>0</v>
          </cell>
          <cell r="G62">
            <v>8900427600</v>
          </cell>
          <cell r="H62">
            <v>8326860408</v>
          </cell>
          <cell r="I62">
            <v>289395101045</v>
          </cell>
        </row>
        <row r="63">
          <cell r="C63" t="str">
            <v>Tanah Perkampungan</v>
          </cell>
          <cell r="I63">
            <v>0</v>
          </cell>
        </row>
        <row r="64">
          <cell r="C64" t="str">
            <v>Tanah Pertanian</v>
          </cell>
          <cell r="I64">
            <v>0</v>
          </cell>
        </row>
        <row r="65">
          <cell r="C65" t="str">
            <v>Tanah Perkebunan</v>
          </cell>
          <cell r="I65">
            <v>0</v>
          </cell>
        </row>
        <row r="66">
          <cell r="C66" t="str">
            <v>Kebun Campuran</v>
          </cell>
          <cell r="I66">
            <v>0</v>
          </cell>
        </row>
        <row r="67">
          <cell r="C67" t="str">
            <v>Hutan</v>
          </cell>
          <cell r="I67">
            <v>0</v>
          </cell>
        </row>
        <row r="68">
          <cell r="C68" t="str">
            <v>Kolam ilan</v>
          </cell>
          <cell r="I68">
            <v>0</v>
          </cell>
        </row>
        <row r="69">
          <cell r="C69" t="str">
            <v>Danau/Rawa</v>
          </cell>
          <cell r="I69">
            <v>0</v>
          </cell>
        </row>
        <row r="70">
          <cell r="C70" t="str">
            <v>Tanah Tandus/Rusak</v>
          </cell>
          <cell r="I70">
            <v>0</v>
          </cell>
        </row>
        <row r="71">
          <cell r="C71" t="str">
            <v>Alang-alang dan Padang Rumput</v>
          </cell>
          <cell r="I71">
            <v>0</v>
          </cell>
        </row>
        <row r="72">
          <cell r="C72" t="str">
            <v>Tanah Pengguna Lain</v>
          </cell>
          <cell r="I72">
            <v>0</v>
          </cell>
        </row>
        <row r="73">
          <cell r="C73" t="str">
            <v>Tanah Untuk Bangunan Gedung</v>
          </cell>
          <cell r="I73">
            <v>2287968511</v>
          </cell>
        </row>
        <row r="74">
          <cell r="C74" t="str">
            <v>Tanah Pertambangan</v>
          </cell>
          <cell r="I74">
            <v>0</v>
          </cell>
        </row>
        <row r="75">
          <cell r="C75" t="str">
            <v>Tanah Untuk Bangunan Bukan Gedung</v>
          </cell>
          <cell r="I75">
            <v>287107132534</v>
          </cell>
        </row>
        <row r="76">
          <cell r="D76">
            <v>14374529182</v>
          </cell>
          <cell r="E76">
            <v>1161035229</v>
          </cell>
          <cell r="F76">
            <v>1157725236</v>
          </cell>
          <cell r="G76">
            <v>1978971230</v>
          </cell>
          <cell r="H76">
            <v>5688090735</v>
          </cell>
          <cell r="I76">
            <v>10668719670</v>
          </cell>
        </row>
        <row r="77">
          <cell r="C77" t="str">
            <v>Alat-Alat Besar Darat</v>
          </cell>
          <cell r="D77">
            <v>9105539059</v>
          </cell>
          <cell r="E77">
            <v>1112029409</v>
          </cell>
          <cell r="F77">
            <v>0</v>
          </cell>
          <cell r="G77">
            <v>0</v>
          </cell>
          <cell r="H77">
            <v>4019640190</v>
          </cell>
          <cell r="I77">
            <v>6197928278</v>
          </cell>
        </row>
        <row r="78">
          <cell r="C78" t="str">
            <v>Alat-alat Bantu</v>
          </cell>
          <cell r="D78">
            <v>416583591</v>
          </cell>
          <cell r="E78">
            <v>0</v>
          </cell>
          <cell r="F78">
            <v>0</v>
          </cell>
          <cell r="G78">
            <v>0</v>
          </cell>
          <cell r="H78">
            <v>259698000</v>
          </cell>
          <cell r="I78">
            <v>156885591</v>
          </cell>
        </row>
        <row r="79">
          <cell r="C79" t="str">
            <v>Alat Angkutan Darat Bermotor</v>
          </cell>
          <cell r="D79">
            <v>2166088013</v>
          </cell>
          <cell r="E79">
            <v>0</v>
          </cell>
          <cell r="F79">
            <v>1087147409</v>
          </cell>
          <cell r="G79">
            <v>1799544150</v>
          </cell>
          <cell r="H79">
            <v>355000000</v>
          </cell>
          <cell r="I79">
            <v>2523484754</v>
          </cell>
        </row>
        <row r="80">
          <cell r="C80" t="str">
            <v>Alat Angkutan Berat Tak Bermotor</v>
          </cell>
          <cell r="D80">
            <v>473443889</v>
          </cell>
          <cell r="E80">
            <v>0</v>
          </cell>
          <cell r="F80">
            <v>0</v>
          </cell>
          <cell r="G80">
            <v>0</v>
          </cell>
          <cell r="H80">
            <v>469930764</v>
          </cell>
          <cell r="I80">
            <v>3513125</v>
          </cell>
        </row>
        <row r="81">
          <cell r="C81" t="str">
            <v>Alat Bengkel bermesin</v>
          </cell>
          <cell r="D81">
            <v>69557393</v>
          </cell>
          <cell r="E81">
            <v>0</v>
          </cell>
          <cell r="F81">
            <v>0</v>
          </cell>
          <cell r="G81">
            <v>0</v>
          </cell>
          <cell r="H81">
            <v>16687000</v>
          </cell>
          <cell r="I81">
            <v>52870393</v>
          </cell>
        </row>
        <row r="82">
          <cell r="C82" t="str">
            <v>Alat Bengkel tak bermesin</v>
          </cell>
          <cell r="D82">
            <v>9818000</v>
          </cell>
          <cell r="E82">
            <v>0</v>
          </cell>
          <cell r="F82">
            <v>0</v>
          </cell>
          <cell r="G82">
            <v>0</v>
          </cell>
          <cell r="H82">
            <v>7018000</v>
          </cell>
          <cell r="I82">
            <v>2800000</v>
          </cell>
        </row>
        <row r="83">
          <cell r="C83" t="str">
            <v>Alat Ukur</v>
          </cell>
          <cell r="D83">
            <v>286765812</v>
          </cell>
          <cell r="E83">
            <v>0</v>
          </cell>
          <cell r="F83">
            <v>0</v>
          </cell>
          <cell r="G83">
            <v>0</v>
          </cell>
          <cell r="H83">
            <v>196915000</v>
          </cell>
          <cell r="I83">
            <v>89850812</v>
          </cell>
          <cell r="J83">
            <v>-68.6675300052853</v>
          </cell>
          <cell r="K83">
            <v>-196915000</v>
          </cell>
        </row>
        <row r="84">
          <cell r="C84" t="str">
            <v>Alat Pengolahan</v>
          </cell>
          <cell r="D84">
            <v>215550000</v>
          </cell>
          <cell r="E84">
            <v>0</v>
          </cell>
          <cell r="F84">
            <v>0</v>
          </cell>
          <cell r="G84">
            <v>0</v>
          </cell>
          <cell r="H84">
            <v>215550000</v>
          </cell>
          <cell r="I84">
            <v>0</v>
          </cell>
        </row>
        <row r="85">
          <cell r="C85" t="str">
            <v>Alat Kantor</v>
          </cell>
          <cell r="D85">
            <v>148556981</v>
          </cell>
          <cell r="E85">
            <v>1200000</v>
          </cell>
          <cell r="F85">
            <v>0</v>
          </cell>
          <cell r="G85">
            <v>0</v>
          </cell>
          <cell r="H85">
            <v>88628814</v>
          </cell>
          <cell r="I85">
            <v>61128167</v>
          </cell>
          <cell r="J85">
            <v>-58.852040080162915</v>
          </cell>
          <cell r="K85">
            <v>-87428814</v>
          </cell>
        </row>
        <row r="86">
          <cell r="C86" t="str">
            <v>Alat Rumah Tangga</v>
          </cell>
          <cell r="D86">
            <v>431458214</v>
          </cell>
          <cell r="E86">
            <v>13713417</v>
          </cell>
          <cell r="F86">
            <v>11860827</v>
          </cell>
          <cell r="G86">
            <v>24427500</v>
          </cell>
          <cell r="H86">
            <v>48038004</v>
          </cell>
          <cell r="I86">
            <v>409700300</v>
          </cell>
        </row>
        <row r="87">
          <cell r="C87" t="str">
            <v>Komputer</v>
          </cell>
          <cell r="D87">
            <v>521741413</v>
          </cell>
          <cell r="E87">
            <v>2110000</v>
          </cell>
          <cell r="F87">
            <v>0</v>
          </cell>
          <cell r="G87">
            <v>18526080</v>
          </cell>
          <cell r="H87">
            <v>10984963</v>
          </cell>
          <cell r="I87">
            <v>531392530</v>
          </cell>
        </row>
        <row r="88">
          <cell r="C88" t="str">
            <v>Meja Dan Kursi Kerja/Rapat Pejabat</v>
          </cell>
          <cell r="D88">
            <v>93771397</v>
          </cell>
          <cell r="E88">
            <v>11860820</v>
          </cell>
          <cell r="F88">
            <v>0</v>
          </cell>
          <cell r="G88">
            <v>0</v>
          </cell>
          <cell r="H88">
            <v>0</v>
          </cell>
          <cell r="I88">
            <v>105632217</v>
          </cell>
        </row>
        <row r="89">
          <cell r="C89" t="str">
            <v>Alat Studio</v>
          </cell>
          <cell r="D89">
            <v>147963232</v>
          </cell>
          <cell r="E89">
            <v>0</v>
          </cell>
          <cell r="F89">
            <v>33835000</v>
          </cell>
          <cell r="G89">
            <v>38785000</v>
          </cell>
          <cell r="H89">
            <v>0</v>
          </cell>
          <cell r="I89">
            <v>152913232</v>
          </cell>
        </row>
        <row r="90">
          <cell r="C90" t="str">
            <v>Alat Komunikasi</v>
          </cell>
          <cell r="D90">
            <v>750000</v>
          </cell>
          <cell r="I90">
            <v>750000</v>
          </cell>
        </row>
        <row r="91">
          <cell r="E91">
            <v>0</v>
          </cell>
          <cell r="F91">
            <v>0</v>
          </cell>
          <cell r="G91">
            <v>0</v>
          </cell>
          <cell r="H91">
            <v>0</v>
          </cell>
        </row>
        <row r="94">
          <cell r="C94" t="str">
            <v>Unit-Unit Laboratorium</v>
          </cell>
          <cell r="D94">
            <v>286942188</v>
          </cell>
          <cell r="E94">
            <v>0</v>
          </cell>
          <cell r="F94">
            <v>24882000</v>
          </cell>
          <cell r="G94">
            <v>97688500</v>
          </cell>
          <cell r="H94">
            <v>0</v>
          </cell>
          <cell r="I94">
            <v>359748688</v>
          </cell>
        </row>
        <row r="95">
          <cell r="C95" t="str">
            <v>Alat Peraga/Praktek Sekolah</v>
          </cell>
          <cell r="I95">
            <v>0</v>
          </cell>
        </row>
        <row r="96">
          <cell r="C96" t="str">
            <v>Unit Alat Laboratorium Kimia Nuklir</v>
          </cell>
          <cell r="I96">
            <v>0</v>
          </cell>
        </row>
        <row r="97">
          <cell r="C97" t="str">
            <v>Alat Laboratorium Fisila Nuklir / Elektronila</v>
          </cell>
          <cell r="I97">
            <v>0</v>
          </cell>
        </row>
        <row r="98">
          <cell r="C98" t="str">
            <v>Alat Proteksi Radiasi / Proteksi Lingkungan</v>
          </cell>
          <cell r="I98">
            <v>0</v>
          </cell>
        </row>
        <row r="99">
          <cell r="C99" t="str">
            <v>Radiation Aplication and Non Destructive Testing Laboratory (BATAM)</v>
          </cell>
          <cell r="I99">
            <v>0</v>
          </cell>
        </row>
        <row r="100">
          <cell r="C100" t="str">
            <v>Alat Laboratorium Lingkungan Hidup</v>
          </cell>
          <cell r="I100">
            <v>0</v>
          </cell>
        </row>
        <row r="101">
          <cell r="C101" t="str">
            <v>Alat Keamanan dan Perlindungan</v>
          </cell>
          <cell r="D101">
            <v>0</v>
          </cell>
          <cell r="E101">
            <v>20121583</v>
          </cell>
          <cell r="F101">
            <v>0</v>
          </cell>
          <cell r="G101">
            <v>0</v>
          </cell>
          <cell r="H101">
            <v>0</v>
          </cell>
          <cell r="I101">
            <v>20121583</v>
          </cell>
        </row>
        <row r="102">
          <cell r="D102">
            <v>8705891186</v>
          </cell>
          <cell r="I102">
            <v>11206825886</v>
          </cell>
        </row>
        <row r="103">
          <cell r="C103" t="str">
            <v>Bangunan Gedung Tempat Kerja</v>
          </cell>
          <cell r="D103">
            <v>8689291186</v>
          </cell>
          <cell r="E103">
            <v>1620861300</v>
          </cell>
          <cell r="F103">
            <v>197989423</v>
          </cell>
          <cell r="G103">
            <v>688904500</v>
          </cell>
          <cell r="H103">
            <v>198104300</v>
          </cell>
          <cell r="I103">
            <v>10602963263</v>
          </cell>
        </row>
        <row r="104">
          <cell r="C104" t="str">
            <v>Bangunan Gedung Tempat Tinggal</v>
          </cell>
          <cell r="D104">
            <v>16600000</v>
          </cell>
          <cell r="E104">
            <v>0</v>
          </cell>
          <cell r="F104">
            <v>0</v>
          </cell>
          <cell r="G104">
            <v>0</v>
          </cell>
          <cell r="H104">
            <v>0</v>
          </cell>
          <cell r="I104">
            <v>16600000</v>
          </cell>
        </row>
        <row r="105">
          <cell r="C105" t="str">
            <v>Bangunan Menara</v>
          </cell>
          <cell r="D105">
            <v>0</v>
          </cell>
          <cell r="E105">
            <v>0</v>
          </cell>
          <cell r="F105">
            <v>0</v>
          </cell>
          <cell r="G105">
            <v>0</v>
          </cell>
          <cell r="H105">
            <v>0</v>
          </cell>
          <cell r="I105">
            <v>0</v>
          </cell>
        </row>
        <row r="106">
          <cell r="C106" t="str">
            <v>Bangunan Bersejarah</v>
          </cell>
          <cell r="I106">
            <v>0</v>
          </cell>
        </row>
        <row r="107">
          <cell r="C107" t="str">
            <v>Tugu Peringatan</v>
          </cell>
          <cell r="D107">
            <v>0</v>
          </cell>
          <cell r="E107">
            <v>587262623</v>
          </cell>
          <cell r="G107">
            <v>0</v>
          </cell>
          <cell r="H107">
            <v>0</v>
          </cell>
          <cell r="I107">
            <v>587262623</v>
          </cell>
        </row>
        <row r="108">
          <cell r="C108" t="str">
            <v>Candi</v>
          </cell>
          <cell r="D108">
            <v>0</v>
          </cell>
          <cell r="E108">
            <v>0</v>
          </cell>
          <cell r="F108">
            <v>0</v>
          </cell>
          <cell r="G108">
            <v>0</v>
          </cell>
          <cell r="H108">
            <v>0</v>
          </cell>
          <cell r="I108">
            <v>0</v>
          </cell>
        </row>
        <row r="109">
          <cell r="C109" t="str">
            <v>Monumen/Bangunan Bersejarah</v>
          </cell>
          <cell r="D109">
            <v>0</v>
          </cell>
          <cell r="E109">
            <v>0</v>
          </cell>
          <cell r="F109">
            <v>0</v>
          </cell>
          <cell r="G109">
            <v>0</v>
          </cell>
          <cell r="H109">
            <v>0</v>
          </cell>
          <cell r="I109">
            <v>0</v>
          </cell>
        </row>
        <row r="110">
          <cell r="C110" t="str">
            <v>Tugu Titik Kontrol/Pasti</v>
          </cell>
          <cell r="D110">
            <v>0</v>
          </cell>
          <cell r="E110">
            <v>0</v>
          </cell>
          <cell r="F110">
            <v>0</v>
          </cell>
          <cell r="G110">
            <v>0</v>
          </cell>
          <cell r="H110">
            <v>0</v>
          </cell>
          <cell r="I110">
            <v>0</v>
          </cell>
        </row>
        <row r="111">
          <cell r="C111" t="str">
            <v>Rambu-Rambu</v>
          </cell>
          <cell r="I111">
            <v>0</v>
          </cell>
        </row>
        <row r="112">
          <cell r="D112">
            <v>1370536978183</v>
          </cell>
          <cell r="E112">
            <v>51354445014</v>
          </cell>
          <cell r="F112">
            <v>4448936439</v>
          </cell>
          <cell r="G112">
            <v>142437975369</v>
          </cell>
          <cell r="H112">
            <v>0</v>
          </cell>
          <cell r="I112">
            <v>1559880462127</v>
          </cell>
        </row>
        <row r="113">
          <cell r="C113" t="str">
            <v>Jalan</v>
          </cell>
          <cell r="D113">
            <v>862330850832</v>
          </cell>
          <cell r="E113">
            <v>48192749814</v>
          </cell>
          <cell r="F113">
            <v>273224239</v>
          </cell>
          <cell r="G113">
            <v>110538571794</v>
          </cell>
          <cell r="I113">
            <v>1020788948201</v>
          </cell>
        </row>
        <row r="114">
          <cell r="C114" t="str">
            <v>Jembatan</v>
          </cell>
          <cell r="D114">
            <v>14135580768</v>
          </cell>
          <cell r="E114">
            <v>0</v>
          </cell>
          <cell r="F114">
            <v>924369000</v>
          </cell>
          <cell r="G114">
            <v>6345000000</v>
          </cell>
          <cell r="I114">
            <v>19556211768</v>
          </cell>
        </row>
        <row r="115">
          <cell r="C115" t="str">
            <v>Bangunan Air Irigasi</v>
          </cell>
          <cell r="D115">
            <v>464125392780</v>
          </cell>
          <cell r="E115">
            <v>0</v>
          </cell>
          <cell r="F115">
            <v>87538000</v>
          </cell>
          <cell r="G115">
            <v>16477012650</v>
          </cell>
          <cell r="H115">
            <v>0</v>
          </cell>
          <cell r="I115">
            <v>480514867430</v>
          </cell>
        </row>
        <row r="116">
          <cell r="C116" t="str">
            <v>Bangunan Pengaman Sungai dan Penanggulangan Bencana Alam</v>
          </cell>
          <cell r="D116">
            <v>4461833000</v>
          </cell>
          <cell r="E116">
            <v>0</v>
          </cell>
          <cell r="F116">
            <v>0</v>
          </cell>
          <cell r="G116">
            <v>0</v>
          </cell>
          <cell r="H116">
            <v>0</v>
          </cell>
          <cell r="I116">
            <v>4461833000</v>
          </cell>
        </row>
        <row r="117">
          <cell r="C117" t="str">
            <v>Bangunan Pengembangan Sumber Air dan Air Tanah</v>
          </cell>
          <cell r="D117">
            <v>0</v>
          </cell>
          <cell r="I117">
            <v>0</v>
          </cell>
        </row>
        <row r="118">
          <cell r="C118" t="str">
            <v>Bangunan Air Bersih/Baku</v>
          </cell>
          <cell r="D118">
            <v>13094849651</v>
          </cell>
          <cell r="E118">
            <v>0</v>
          </cell>
          <cell r="F118">
            <v>3161695200</v>
          </cell>
          <cell r="G118">
            <v>3161695200</v>
          </cell>
          <cell r="H118">
            <v>0</v>
          </cell>
          <cell r="I118">
            <v>13094849651</v>
          </cell>
        </row>
        <row r="119">
          <cell r="C119" t="str">
            <v>Bangunan Air Kotor</v>
          </cell>
          <cell r="D119">
            <v>12388471152</v>
          </cell>
          <cell r="E119">
            <v>0</v>
          </cell>
          <cell r="F119">
            <v>0</v>
          </cell>
          <cell r="H119">
            <v>0</v>
          </cell>
          <cell r="I119">
            <v>12388471152</v>
          </cell>
        </row>
        <row r="120">
          <cell r="C120" t="str">
            <v>Bangunan Air</v>
          </cell>
          <cell r="D120">
            <v>0</v>
          </cell>
          <cell r="H120">
            <v>0</v>
          </cell>
          <cell r="I120">
            <v>0</v>
          </cell>
        </row>
        <row r="121">
          <cell r="C121" t="str">
            <v>Instalasi Air Minum Bersih</v>
          </cell>
          <cell r="E121">
            <v>3161695200</v>
          </cell>
          <cell r="F121">
            <v>0</v>
          </cell>
          <cell r="G121">
            <v>984489000</v>
          </cell>
          <cell r="H121">
            <v>0</v>
          </cell>
          <cell r="I121">
            <v>4146184200</v>
          </cell>
        </row>
        <row r="122">
          <cell r="C122" t="str">
            <v>Instalasi Air Kotor</v>
          </cell>
          <cell r="D122">
            <v>0</v>
          </cell>
          <cell r="E122">
            <v>0</v>
          </cell>
          <cell r="F122">
            <v>2110000</v>
          </cell>
          <cell r="G122">
            <v>4931206725</v>
          </cell>
          <cell r="H122">
            <v>0</v>
          </cell>
          <cell r="I122">
            <v>4929096725</v>
          </cell>
          <cell r="J122">
            <v>100</v>
          </cell>
          <cell r="K122">
            <v>4929096725</v>
          </cell>
        </row>
        <row r="123">
          <cell r="C123" t="str">
            <v>Aset Tetap Lainnya</v>
          </cell>
          <cell r="D123">
            <v>0</v>
          </cell>
          <cell r="E123">
            <v>0</v>
          </cell>
          <cell r="F123">
            <v>587377500</v>
          </cell>
          <cell r="G123">
            <v>587377500</v>
          </cell>
          <cell r="H123">
            <v>0</v>
          </cell>
          <cell r="I123">
            <v>0</v>
          </cell>
        </row>
        <row r="124">
          <cell r="E124">
            <v>0</v>
          </cell>
          <cell r="F124">
            <v>0</v>
          </cell>
          <cell r="G124">
            <v>0</v>
          </cell>
          <cell r="H124">
            <v>0</v>
          </cell>
        </row>
        <row r="125">
          <cell r="C125" t="str">
            <v>Terbitan</v>
          </cell>
          <cell r="E125">
            <v>0</v>
          </cell>
          <cell r="F125">
            <v>0</v>
          </cell>
          <cell r="G125">
            <v>0</v>
          </cell>
          <cell r="H125">
            <v>0</v>
          </cell>
        </row>
        <row r="126">
          <cell r="C126" t="str">
            <v>Barang-Barang Perpustakaan</v>
          </cell>
          <cell r="E126">
            <v>0</v>
          </cell>
          <cell r="F126">
            <v>0</v>
          </cell>
          <cell r="G126">
            <v>0</v>
          </cell>
          <cell r="H126">
            <v>0</v>
          </cell>
        </row>
        <row r="127">
          <cell r="C127" t="str">
            <v>Barang Bercorak Kebudayaan</v>
          </cell>
          <cell r="E127">
            <v>0</v>
          </cell>
          <cell r="F127">
            <v>0</v>
          </cell>
          <cell r="G127">
            <v>0</v>
          </cell>
          <cell r="H127">
            <v>0</v>
          </cell>
        </row>
        <row r="128">
          <cell r="C128" t="str">
            <v>Alat Olah Raga Lainnya</v>
          </cell>
          <cell r="E128">
            <v>0</v>
          </cell>
          <cell r="F128">
            <v>0</v>
          </cell>
          <cell r="G128">
            <v>0</v>
          </cell>
          <cell r="H128">
            <v>0</v>
          </cell>
        </row>
        <row r="129">
          <cell r="C129" t="str">
            <v>Hewan</v>
          </cell>
          <cell r="E129">
            <v>0</v>
          </cell>
          <cell r="F129">
            <v>0</v>
          </cell>
          <cell r="G129">
            <v>0</v>
          </cell>
          <cell r="H129">
            <v>0</v>
          </cell>
        </row>
        <row r="130">
          <cell r="C130" t="str">
            <v>Tanaman</v>
          </cell>
          <cell r="E130">
            <v>0</v>
          </cell>
          <cell r="F130">
            <v>0</v>
          </cell>
          <cell r="G130">
            <v>0</v>
          </cell>
          <cell r="H130">
            <v>0</v>
          </cell>
        </row>
        <row r="131">
          <cell r="C131" t="str">
            <v>Aset Tetap Renovasi</v>
          </cell>
          <cell r="H131">
            <v>0</v>
          </cell>
        </row>
        <row r="132">
          <cell r="C132" t="str">
            <v>Konstruksi Dalam Pengerjaan</v>
          </cell>
          <cell r="D132">
            <v>0</v>
          </cell>
          <cell r="E132">
            <v>0</v>
          </cell>
          <cell r="F132">
            <v>0</v>
          </cell>
          <cell r="G132">
            <v>0</v>
          </cell>
        </row>
        <row r="134">
          <cell r="D134">
            <v>-858804424594.96997</v>
          </cell>
          <cell r="E134">
            <v>-149673</v>
          </cell>
          <cell r="F134">
            <v>0</v>
          </cell>
          <cell r="G134">
            <v>-104332919669</v>
          </cell>
          <cell r="H134">
            <v>-2376775241</v>
          </cell>
          <cell r="I134">
            <v>-960760718695.96997</v>
          </cell>
        </row>
        <row r="135">
          <cell r="I135">
            <v>-5781533596.1999998</v>
          </cell>
        </row>
        <row r="136">
          <cell r="I136">
            <v>-1555455574</v>
          </cell>
        </row>
        <row r="137">
          <cell r="I137">
            <v>-953423729525.77002</v>
          </cell>
        </row>
        <row r="138">
          <cell r="I138">
            <v>0</v>
          </cell>
        </row>
        <row r="141">
          <cell r="D141">
            <v>83612607295</v>
          </cell>
          <cell r="E141">
            <v>0</v>
          </cell>
          <cell r="F141">
            <v>47268380814</v>
          </cell>
          <cell r="G141">
            <v>0</v>
          </cell>
          <cell r="H141">
            <v>14281307953</v>
          </cell>
          <cell r="J141">
            <v>0</v>
          </cell>
          <cell r="K141">
            <v>22062918528</v>
          </cell>
        </row>
        <row r="148">
          <cell r="D148">
            <v>0</v>
          </cell>
          <cell r="E148">
            <v>0</v>
          </cell>
          <cell r="F148">
            <v>0</v>
          </cell>
          <cell r="G148">
            <v>0</v>
          </cell>
          <cell r="H148">
            <v>0</v>
          </cell>
        </row>
        <row r="150">
          <cell r="C150" t="str">
            <v>Goodwill</v>
          </cell>
          <cell r="I150">
            <v>0</v>
          </cell>
        </row>
        <row r="151">
          <cell r="C151" t="str">
            <v>Lisensi dan frenchise</v>
          </cell>
          <cell r="I151">
            <v>0</v>
          </cell>
        </row>
        <row r="152">
          <cell r="C152" t="str">
            <v>Hak Cipta</v>
          </cell>
          <cell r="I152">
            <v>0</v>
          </cell>
        </row>
        <row r="153">
          <cell r="C153" t="str">
            <v>Paten</v>
          </cell>
          <cell r="D153">
            <v>0</v>
          </cell>
          <cell r="E153">
            <v>0</v>
          </cell>
          <cell r="F153">
            <v>0</v>
          </cell>
          <cell r="G153">
            <v>0</v>
          </cell>
          <cell r="H153">
            <v>0</v>
          </cell>
          <cell r="I153">
            <v>0</v>
          </cell>
        </row>
        <row r="154">
          <cell r="C154" t="str">
            <v>Aset Tidak Berwujud Lainnya</v>
          </cell>
          <cell r="D154">
            <v>0</v>
          </cell>
          <cell r="E154">
            <v>0</v>
          </cell>
          <cell r="F154">
            <v>0</v>
          </cell>
          <cell r="G154">
            <v>0</v>
          </cell>
          <cell r="H154">
            <v>0</v>
          </cell>
          <cell r="I154">
            <v>0</v>
          </cell>
        </row>
        <row r="155">
          <cell r="C155" t="str">
            <v>Akumulasi Amortisasi Aset Tidak Berwujud</v>
          </cell>
          <cell r="I155">
            <v>0</v>
          </cell>
        </row>
        <row r="157">
          <cell r="D157">
            <v>83612607295</v>
          </cell>
          <cell r="E157">
            <v>0</v>
          </cell>
          <cell r="F157">
            <v>47268380814</v>
          </cell>
          <cell r="G157">
            <v>0</v>
          </cell>
          <cell r="H157">
            <v>14281307953</v>
          </cell>
        </row>
        <row r="158">
          <cell r="D158">
            <v>165392058</v>
          </cell>
          <cell r="I158">
            <v>77235779</v>
          </cell>
          <cell r="J158">
            <v>-99.907626634907459</v>
          </cell>
          <cell r="K158">
            <v>-83535371516</v>
          </cell>
        </row>
        <row r="159">
          <cell r="I159">
            <v>77235779</v>
          </cell>
          <cell r="J159">
            <v>-53.301397942578355</v>
          </cell>
          <cell r="K159">
            <v>-88156279</v>
          </cell>
        </row>
        <row r="160">
          <cell r="D160">
            <v>0</v>
          </cell>
          <cell r="E160">
            <v>0</v>
          </cell>
          <cell r="F160">
            <v>0</v>
          </cell>
          <cell r="I160">
            <v>0</v>
          </cell>
        </row>
        <row r="161">
          <cell r="C161" t="str">
            <v>Utang Taspen</v>
          </cell>
          <cell r="D161">
            <v>0</v>
          </cell>
          <cell r="E161">
            <v>0</v>
          </cell>
          <cell r="F161">
            <v>0</v>
          </cell>
          <cell r="G161">
            <v>0</v>
          </cell>
          <cell r="H161">
            <v>0</v>
          </cell>
        </row>
        <row r="162">
          <cell r="C162" t="str">
            <v>Utang Iuran Jaminan Kesehatan</v>
          </cell>
          <cell r="D162">
            <v>0</v>
          </cell>
          <cell r="E162">
            <v>0</v>
          </cell>
          <cell r="F162">
            <v>0</v>
          </cell>
          <cell r="G162">
            <v>0</v>
          </cell>
          <cell r="H162">
            <v>0</v>
          </cell>
        </row>
        <row r="163">
          <cell r="C163" t="str">
            <v>Utang PPh Pusat</v>
          </cell>
          <cell r="D163">
            <v>0</v>
          </cell>
          <cell r="E163">
            <v>0</v>
          </cell>
          <cell r="F163">
            <v>0</v>
          </cell>
          <cell r="G163">
            <v>2609489021</v>
          </cell>
          <cell r="H163">
            <v>2609489021</v>
          </cell>
        </row>
        <row r="164">
          <cell r="C164" t="str">
            <v>Utang  PPN Pusat</v>
          </cell>
          <cell r="D164">
            <v>0</v>
          </cell>
          <cell r="E164">
            <v>0</v>
          </cell>
          <cell r="F164">
            <v>0</v>
          </cell>
          <cell r="G164">
            <v>9835541363</v>
          </cell>
          <cell r="H164">
            <v>9835541363</v>
          </cell>
        </row>
        <row r="165">
          <cell r="C165" t="str">
            <v>Utang Taperum</v>
          </cell>
          <cell r="D165">
            <v>0</v>
          </cell>
          <cell r="E165">
            <v>0</v>
          </cell>
          <cell r="F165">
            <v>0</v>
          </cell>
          <cell r="G165">
            <v>0</v>
          </cell>
          <cell r="H165">
            <v>0</v>
          </cell>
        </row>
        <row r="166">
          <cell r="C166" t="str">
            <v>Utang Iuran Wajib Pegawai</v>
          </cell>
          <cell r="D166">
            <v>0</v>
          </cell>
          <cell r="E166">
            <v>0</v>
          </cell>
          <cell r="F166">
            <v>0</v>
          </cell>
          <cell r="G166">
            <v>0</v>
          </cell>
          <cell r="H166">
            <v>0</v>
          </cell>
        </row>
        <row r="167">
          <cell r="C167" t="str">
            <v>Utang Perhitungan Pihak Ketiga Lainnya</v>
          </cell>
          <cell r="E167">
            <v>0</v>
          </cell>
          <cell r="F167">
            <v>0</v>
          </cell>
          <cell r="G167">
            <v>0</v>
          </cell>
          <cell r="H167">
            <v>0</v>
          </cell>
        </row>
        <row r="168">
          <cell r="C168" t="str">
            <v>Utang Jaminan</v>
          </cell>
        </row>
        <row r="169">
          <cell r="D169">
            <v>0</v>
          </cell>
          <cell r="E169">
            <v>0</v>
          </cell>
          <cell r="F169">
            <v>0</v>
          </cell>
          <cell r="G169">
            <v>0</v>
          </cell>
          <cell r="H169">
            <v>0</v>
          </cell>
          <cell r="I169">
            <v>0</v>
          </cell>
        </row>
        <row r="170">
          <cell r="C170" t="str">
            <v>Utang Bunga kepada Pemerintah</v>
          </cell>
          <cell r="D170">
            <v>0</v>
          </cell>
          <cell r="E170">
            <v>0</v>
          </cell>
          <cell r="F170">
            <v>0</v>
          </cell>
          <cell r="G170">
            <v>0</v>
          </cell>
          <cell r="H170">
            <v>0</v>
          </cell>
        </row>
        <row r="171">
          <cell r="C171" t="str">
            <v>Utang Bunga kepada Pemerintah Daerah Lainnya</v>
          </cell>
          <cell r="D171">
            <v>0</v>
          </cell>
          <cell r="E171">
            <v>0</v>
          </cell>
          <cell r="F171">
            <v>0</v>
          </cell>
          <cell r="G171">
            <v>0</v>
          </cell>
          <cell r="H171">
            <v>0</v>
          </cell>
        </row>
        <row r="172">
          <cell r="C172" t="str">
            <v>Utang Bunga Kepada BUMN/BUMD</v>
          </cell>
          <cell r="D172">
            <v>0</v>
          </cell>
          <cell r="E172">
            <v>0</v>
          </cell>
          <cell r="F172">
            <v>0</v>
          </cell>
          <cell r="G172">
            <v>0</v>
          </cell>
          <cell r="H172">
            <v>0</v>
          </cell>
        </row>
        <row r="173">
          <cell r="C173" t="str">
            <v>Utang Bunga kepada Bank/Lembaga Keuangan Bukan Bank</v>
          </cell>
          <cell r="D173">
            <v>0</v>
          </cell>
          <cell r="E173">
            <v>0</v>
          </cell>
          <cell r="F173">
            <v>0</v>
          </cell>
          <cell r="G173">
            <v>0</v>
          </cell>
          <cell r="H173">
            <v>0</v>
          </cell>
        </row>
        <row r="174">
          <cell r="C174" t="str">
            <v>Utang Bunga Dalam Negeri Lainnya</v>
          </cell>
          <cell r="D174">
            <v>0</v>
          </cell>
          <cell r="E174">
            <v>0</v>
          </cell>
          <cell r="F174">
            <v>0</v>
          </cell>
          <cell r="G174">
            <v>0</v>
          </cell>
          <cell r="H174">
            <v>0</v>
          </cell>
        </row>
        <row r="175">
          <cell r="C175" t="str">
            <v>Utang Bunga Luar Negeri</v>
          </cell>
        </row>
        <row r="176">
          <cell r="D176">
            <v>0</v>
          </cell>
          <cell r="E176">
            <v>0</v>
          </cell>
          <cell r="F176">
            <v>0</v>
          </cell>
          <cell r="G176">
            <v>0</v>
          </cell>
          <cell r="H176">
            <v>0</v>
          </cell>
          <cell r="I176">
            <v>0</v>
          </cell>
          <cell r="J176">
            <v>0</v>
          </cell>
          <cell r="K176">
            <v>0</v>
          </cell>
        </row>
        <row r="177">
          <cell r="C177" t="str">
            <v>Bagian Lancar Utang Dalam Negeri Sektor Perbankan</v>
          </cell>
          <cell r="D177">
            <v>0</v>
          </cell>
          <cell r="E177">
            <v>0</v>
          </cell>
          <cell r="F177">
            <v>0</v>
          </cell>
          <cell r="G177">
            <v>0</v>
          </cell>
          <cell r="H177">
            <v>0</v>
          </cell>
        </row>
        <row r="178">
          <cell r="C178" t="str">
            <v>Bagian Lancar Utang dari Lembaga Keuangan Bukan Bank</v>
          </cell>
          <cell r="D178">
            <v>0</v>
          </cell>
          <cell r="E178">
            <v>0</v>
          </cell>
          <cell r="F178">
            <v>0</v>
          </cell>
          <cell r="G178">
            <v>0</v>
          </cell>
          <cell r="H178">
            <v>0</v>
          </cell>
        </row>
        <row r="179">
          <cell r="C179" t="str">
            <v>Bagian Lancar Utang Pemerintah Pusat</v>
          </cell>
          <cell r="D179">
            <v>0</v>
          </cell>
          <cell r="E179">
            <v>0</v>
          </cell>
          <cell r="F179">
            <v>0</v>
          </cell>
          <cell r="G179">
            <v>0</v>
          </cell>
          <cell r="H179">
            <v>0</v>
          </cell>
        </row>
        <row r="180">
          <cell r="C180" t="str">
            <v>Bagian Lancar Utang Pemerintah Provinsi Lainnya</v>
          </cell>
          <cell r="D180">
            <v>0</v>
          </cell>
          <cell r="E180">
            <v>0</v>
          </cell>
          <cell r="F180">
            <v>0</v>
          </cell>
          <cell r="G180">
            <v>0</v>
          </cell>
          <cell r="H180">
            <v>0</v>
          </cell>
        </row>
        <row r="181">
          <cell r="C181" t="str">
            <v>Bagian Lancar Utang Pemerintah Kabupaten/Kota</v>
          </cell>
        </row>
        <row r="182">
          <cell r="D182">
            <v>24900000</v>
          </cell>
          <cell r="E182">
            <v>0</v>
          </cell>
          <cell r="F182">
            <v>0</v>
          </cell>
          <cell r="G182">
            <v>0</v>
          </cell>
          <cell r="H182">
            <v>0</v>
          </cell>
          <cell r="I182">
            <v>24900000</v>
          </cell>
        </row>
        <row r="183">
          <cell r="C183" t="str">
            <v>Setoran Kelebihan Pembayaran Dari Pihak III</v>
          </cell>
          <cell r="D183">
            <v>0</v>
          </cell>
          <cell r="E183">
            <v>0</v>
          </cell>
          <cell r="F183">
            <v>0</v>
          </cell>
          <cell r="G183">
            <v>0</v>
          </cell>
          <cell r="H183">
            <v>0</v>
          </cell>
        </row>
        <row r="184">
          <cell r="C184" t="str">
            <v>Uang Muka Penjualan Produk Pemda Dari Pihak III</v>
          </cell>
          <cell r="D184">
            <v>0</v>
          </cell>
          <cell r="E184">
            <v>0</v>
          </cell>
          <cell r="F184">
            <v>0</v>
          </cell>
          <cell r="G184">
            <v>0</v>
          </cell>
          <cell r="H184">
            <v>0</v>
          </cell>
        </row>
        <row r="185">
          <cell r="C185" t="str">
            <v>Uang Muka Lelang Penjualan Aset Daerah</v>
          </cell>
          <cell r="D185">
            <v>0</v>
          </cell>
          <cell r="E185">
            <v>0</v>
          </cell>
          <cell r="F185">
            <v>0</v>
          </cell>
          <cell r="G185">
            <v>0</v>
          </cell>
          <cell r="H185">
            <v>0</v>
          </cell>
        </row>
        <row r="186">
          <cell r="C186" t="str">
            <v>Pendapatan Diterima Dimuka lainnya</v>
          </cell>
        </row>
        <row r="187">
          <cell r="I187">
            <v>52335779</v>
          </cell>
        </row>
        <row r="188">
          <cell r="C188" t="str">
            <v>Utang Belanja Pegawai</v>
          </cell>
          <cell r="D188">
            <v>0</v>
          </cell>
          <cell r="E188">
            <v>0</v>
          </cell>
          <cell r="F188">
            <v>0</v>
          </cell>
          <cell r="G188">
            <v>0</v>
          </cell>
          <cell r="H188">
            <v>0</v>
          </cell>
        </row>
        <row r="189">
          <cell r="C189" t="str">
            <v>Utang Belanja Barang dan Jasa</v>
          </cell>
          <cell r="D189">
            <v>52954058</v>
          </cell>
          <cell r="E189">
            <v>0</v>
          </cell>
          <cell r="F189">
            <v>0</v>
          </cell>
          <cell r="G189">
            <v>3834058</v>
          </cell>
          <cell r="H189">
            <v>3215779</v>
          </cell>
        </row>
        <row r="190">
          <cell r="C190" t="str">
            <v>Utang Belanja Modal</v>
          </cell>
          <cell r="D190">
            <v>87538000</v>
          </cell>
          <cell r="E190">
            <v>0</v>
          </cell>
          <cell r="F190">
            <v>0</v>
          </cell>
          <cell r="G190">
            <v>87538000</v>
          </cell>
          <cell r="H190">
            <v>0</v>
          </cell>
        </row>
        <row r="191">
          <cell r="C191" t="str">
            <v>Utang Belanja Subsidi</v>
          </cell>
          <cell r="D191">
            <v>0</v>
          </cell>
          <cell r="E191">
            <v>0</v>
          </cell>
          <cell r="F191">
            <v>0</v>
          </cell>
          <cell r="G191">
            <v>0</v>
          </cell>
          <cell r="H191">
            <v>0</v>
          </cell>
        </row>
        <row r="192">
          <cell r="C192" t="str">
            <v>Utang Transfer Pemerintah Daerah Lainnya</v>
          </cell>
          <cell r="D192">
            <v>0</v>
          </cell>
          <cell r="E192">
            <v>0</v>
          </cell>
          <cell r="F192">
            <v>0</v>
          </cell>
          <cell r="G192">
            <v>0</v>
          </cell>
          <cell r="H192">
            <v>0</v>
          </cell>
        </row>
        <row r="193">
          <cell r="C193" t="str">
            <v>Utang Belanja Lain-lain</v>
          </cell>
        </row>
        <row r="194">
          <cell r="D194">
            <v>0</v>
          </cell>
          <cell r="E194">
            <v>0</v>
          </cell>
          <cell r="F194">
            <v>0</v>
          </cell>
          <cell r="G194">
            <v>0</v>
          </cell>
          <cell r="H194">
            <v>0</v>
          </cell>
          <cell r="I194">
            <v>0</v>
          </cell>
          <cell r="J194">
            <v>0</v>
          </cell>
          <cell r="K194">
            <v>0</v>
          </cell>
        </row>
        <row r="195">
          <cell r="C195" t="str">
            <v>Utang Kelebihan Pembayaran PAD</v>
          </cell>
          <cell r="D195">
            <v>0</v>
          </cell>
          <cell r="E195">
            <v>0</v>
          </cell>
          <cell r="F195">
            <v>0</v>
          </cell>
          <cell r="G195">
            <v>0</v>
          </cell>
          <cell r="H195">
            <v>0</v>
          </cell>
        </row>
        <row r="196">
          <cell r="C196" t="str">
            <v>Utang Kelebihan Pembayaran Transfer</v>
          </cell>
          <cell r="D196">
            <v>0</v>
          </cell>
          <cell r="E196">
            <v>0</v>
          </cell>
          <cell r="F196">
            <v>0</v>
          </cell>
          <cell r="G196">
            <v>0</v>
          </cell>
          <cell r="H196">
            <v>0</v>
          </cell>
        </row>
        <row r="197">
          <cell r="C197" t="str">
            <v>Utang Kelebihan Pembayaran Lain-Lain Pendapatan yang Sah</v>
          </cell>
          <cell r="D197">
            <v>0</v>
          </cell>
          <cell r="E197">
            <v>0</v>
          </cell>
          <cell r="F197">
            <v>0</v>
          </cell>
          <cell r="G197">
            <v>0</v>
          </cell>
          <cell r="H197">
            <v>0</v>
          </cell>
        </row>
        <row r="198">
          <cell r="C198" t="str">
            <v>Utang Transfer</v>
          </cell>
          <cell r="D198">
            <v>0</v>
          </cell>
          <cell r="E198">
            <v>0</v>
          </cell>
          <cell r="F198">
            <v>0</v>
          </cell>
          <cell r="G198">
            <v>0</v>
          </cell>
          <cell r="H198">
            <v>0</v>
          </cell>
        </row>
        <row r="199">
          <cell r="C199" t="str">
            <v>Utang Jangka Pendek Lainnya</v>
          </cell>
        </row>
        <row r="209">
          <cell r="D209">
            <v>0</v>
          </cell>
        </row>
        <row r="210">
          <cell r="I210">
            <v>934528689327.03003</v>
          </cell>
          <cell r="J210">
            <v>3.0166149628576489</v>
          </cell>
          <cell r="K210">
            <v>934528689327.03003</v>
          </cell>
        </row>
        <row r="212">
          <cell r="D212">
            <v>907163072349.03003</v>
          </cell>
        </row>
        <row r="213">
          <cell r="I213">
            <v>934528689327.03003</v>
          </cell>
        </row>
      </sheetData>
      <sheetData sheetId="4">
        <row r="7">
          <cell r="E7">
            <v>534830700</v>
          </cell>
          <cell r="F7">
            <v>1043240650</v>
          </cell>
        </row>
        <row r="8">
          <cell r="E8">
            <v>0</v>
          </cell>
          <cell r="F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188721200</v>
          </cell>
          <cell r="F19">
            <v>319875000</v>
          </cell>
        </row>
        <row r="20">
          <cell r="E20">
            <v>0</v>
          </cell>
        </row>
        <row r="21">
          <cell r="E21">
            <v>0</v>
          </cell>
        </row>
        <row r="22">
          <cell r="E22">
            <v>0</v>
          </cell>
        </row>
        <row r="23">
          <cell r="E23">
            <v>0</v>
          </cell>
        </row>
        <row r="24">
          <cell r="E24">
            <v>0</v>
          </cell>
        </row>
        <row r="25">
          <cell r="E25">
            <v>0</v>
          </cell>
        </row>
        <row r="26">
          <cell r="E26">
            <v>0</v>
          </cell>
        </row>
        <row r="27">
          <cell r="E27">
            <v>0</v>
          </cell>
        </row>
        <row r="28">
          <cell r="E28">
            <v>188721200</v>
          </cell>
        </row>
        <row r="29">
          <cell r="E29">
            <v>188721200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cell r="F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346109500</v>
          </cell>
          <cell r="F51">
            <v>723365650</v>
          </cell>
        </row>
        <row r="52">
          <cell r="E52">
            <v>47960400</v>
          </cell>
        </row>
        <row r="53">
          <cell r="E53">
            <v>0</v>
          </cell>
        </row>
        <row r="54">
          <cell r="E54">
            <v>0</v>
          </cell>
        </row>
        <row r="55">
          <cell r="E55">
            <v>0</v>
          </cell>
        </row>
        <row r="56">
          <cell r="E56">
            <v>47960400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2">
          <cell r="E72">
            <v>72974050</v>
          </cell>
        </row>
        <row r="74">
          <cell r="E74">
            <v>225175050</v>
          </cell>
        </row>
        <row r="75">
          <cell r="E75">
            <v>225175050</v>
          </cell>
        </row>
        <row r="76">
          <cell r="E76">
            <v>0</v>
          </cell>
        </row>
        <row r="78">
          <cell r="E78">
            <v>0</v>
          </cell>
        </row>
        <row r="79">
          <cell r="E79">
            <v>0</v>
          </cell>
        </row>
        <row r="80">
          <cell r="E80">
            <v>0</v>
          </cell>
        </row>
        <row r="81">
          <cell r="E81">
            <v>0</v>
          </cell>
        </row>
        <row r="82">
          <cell r="E82">
            <v>0</v>
          </cell>
        </row>
        <row r="83">
          <cell r="E83">
            <v>0</v>
          </cell>
        </row>
        <row r="85">
          <cell r="E85">
            <v>0</v>
          </cell>
          <cell r="F85">
            <v>0</v>
          </cell>
        </row>
        <row r="86">
          <cell r="E86">
            <v>0</v>
          </cell>
          <cell r="F86">
            <v>0</v>
          </cell>
        </row>
        <row r="87">
          <cell r="E87">
            <v>0</v>
          </cell>
        </row>
        <row r="88">
          <cell r="E88">
            <v>0</v>
          </cell>
        </row>
        <row r="89">
          <cell r="E89">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cell r="F121">
            <v>0</v>
          </cell>
        </row>
        <row r="122">
          <cell r="E122">
            <v>0</v>
          </cell>
        </row>
        <row r="123">
          <cell r="E123">
            <v>0</v>
          </cell>
        </row>
        <row r="124">
          <cell r="E124">
            <v>0</v>
          </cell>
          <cell r="F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4">
          <cell r="E134">
            <v>0</v>
          </cell>
          <cell r="F134">
            <v>0</v>
          </cell>
        </row>
        <row r="135">
          <cell r="E135">
            <v>0</v>
          </cell>
          <cell r="F135">
            <v>0</v>
          </cell>
        </row>
        <row r="136">
          <cell r="E136">
            <v>0</v>
          </cell>
        </row>
        <row r="137">
          <cell r="E137">
            <v>0</v>
          </cell>
          <cell r="F137">
            <v>0</v>
          </cell>
        </row>
        <row r="138">
          <cell r="E138">
            <v>0</v>
          </cell>
          <cell r="F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5">
          <cell r="E155">
            <v>10065859811</v>
          </cell>
          <cell r="F155">
            <v>14212669217</v>
          </cell>
        </row>
        <row r="157">
          <cell r="E157">
            <v>5233586800</v>
          </cell>
        </row>
        <row r="158">
          <cell r="E158">
            <v>573524472</v>
          </cell>
        </row>
        <row r="159">
          <cell r="E159">
            <v>231305000</v>
          </cell>
        </row>
        <row r="160">
          <cell r="E160">
            <v>19500000</v>
          </cell>
        </row>
        <row r="161">
          <cell r="E161">
            <v>233940000</v>
          </cell>
        </row>
        <row r="162">
          <cell r="E162">
            <v>376801260</v>
          </cell>
        </row>
        <row r="163">
          <cell r="E163">
            <v>20012209</v>
          </cell>
        </row>
        <row r="164">
          <cell r="E164">
            <v>84108</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9">
          <cell r="E179">
            <v>2909809500</v>
          </cell>
        </row>
        <row r="181">
          <cell r="E181">
            <v>0</v>
          </cell>
        </row>
        <row r="182">
          <cell r="E182">
            <v>0</v>
          </cell>
        </row>
        <row r="184">
          <cell r="E184">
            <v>0</v>
          </cell>
        </row>
        <row r="186">
          <cell r="E186">
            <v>3944462</v>
          </cell>
        </row>
        <row r="188">
          <cell r="E188">
            <v>76155000</v>
          </cell>
        </row>
        <row r="189">
          <cell r="E189">
            <v>12400000</v>
          </cell>
        </row>
        <row r="190">
          <cell r="E190">
            <v>112560000</v>
          </cell>
        </row>
        <row r="191">
          <cell r="E191">
            <v>0</v>
          </cell>
        </row>
        <row r="192">
          <cell r="E192">
            <v>0</v>
          </cell>
        </row>
        <row r="193">
          <cell r="E193">
            <v>0</v>
          </cell>
        </row>
        <row r="194">
          <cell r="E194">
            <v>0</v>
          </cell>
        </row>
        <row r="195">
          <cell r="E195">
            <v>0</v>
          </cell>
        </row>
        <row r="196">
          <cell r="E196">
            <v>152125000</v>
          </cell>
        </row>
        <row r="197">
          <cell r="E197">
            <v>14300000</v>
          </cell>
        </row>
        <row r="198">
          <cell r="E198">
            <v>0</v>
          </cell>
        </row>
        <row r="199">
          <cell r="E199">
            <v>0</v>
          </cell>
        </row>
        <row r="201">
          <cell r="E201">
            <v>750000</v>
          </cell>
        </row>
        <row r="202">
          <cell r="E202">
            <v>1600000</v>
          </cell>
        </row>
        <row r="203">
          <cell r="E203">
            <v>0</v>
          </cell>
        </row>
        <row r="204">
          <cell r="E204">
            <v>0</v>
          </cell>
        </row>
        <row r="205">
          <cell r="E205">
            <v>18000000</v>
          </cell>
        </row>
        <row r="206">
          <cell r="E206">
            <v>0</v>
          </cell>
        </row>
        <row r="208">
          <cell r="E208">
            <v>65172000</v>
          </cell>
        </row>
        <row r="209">
          <cell r="E209">
            <v>10290000</v>
          </cell>
        </row>
        <row r="211">
          <cell r="E211">
            <v>0</v>
          </cell>
        </row>
        <row r="212">
          <cell r="E212">
            <v>0</v>
          </cell>
        </row>
        <row r="214">
          <cell r="E214">
            <v>0</v>
          </cell>
        </row>
        <row r="215">
          <cell r="E215">
            <v>0</v>
          </cell>
        </row>
        <row r="217">
          <cell r="E217">
            <v>0</v>
          </cell>
        </row>
        <row r="218">
          <cell r="E218">
            <v>0</v>
          </cell>
        </row>
        <row r="219">
          <cell r="E219">
            <v>0</v>
          </cell>
        </row>
        <row r="220">
          <cell r="E220">
            <v>0</v>
          </cell>
        </row>
        <row r="221">
          <cell r="E221">
            <v>3852133175</v>
          </cell>
          <cell r="F221">
            <v>6682528354</v>
          </cell>
        </row>
        <row r="223">
          <cell r="E223">
            <v>58678525</v>
          </cell>
        </row>
        <row r="224">
          <cell r="E224">
            <v>17477225</v>
          </cell>
        </row>
        <row r="225">
          <cell r="E225">
            <v>5202000</v>
          </cell>
        </row>
        <row r="226">
          <cell r="E226">
            <v>21982661</v>
          </cell>
        </row>
        <row r="227">
          <cell r="E227">
            <v>35500277</v>
          </cell>
        </row>
        <row r="228">
          <cell r="E228">
            <v>0</v>
          </cell>
        </row>
        <row r="229">
          <cell r="E229">
            <v>0</v>
          </cell>
        </row>
        <row r="230">
          <cell r="E230">
            <v>0</v>
          </cell>
        </row>
        <row r="231">
          <cell r="E231">
            <v>0</v>
          </cell>
        </row>
        <row r="232">
          <cell r="E232">
            <v>5402000</v>
          </cell>
        </row>
        <row r="234">
          <cell r="E234">
            <v>41571350</v>
          </cell>
        </row>
        <row r="238">
          <cell r="E238">
            <v>3304214688</v>
          </cell>
        </row>
        <row r="239">
          <cell r="E239">
            <v>283224239</v>
          </cell>
        </row>
        <row r="240">
          <cell r="E240">
            <v>0</v>
          </cell>
        </row>
        <row r="241">
          <cell r="E241">
            <v>0</v>
          </cell>
        </row>
        <row r="242">
          <cell r="E242">
            <v>0</v>
          </cell>
        </row>
        <row r="243">
          <cell r="E243">
            <v>20242000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10836563634</v>
          </cell>
          <cell r="F254">
            <v>9155495525</v>
          </cell>
        </row>
        <row r="256">
          <cell r="E256">
            <v>9497097</v>
          </cell>
        </row>
        <row r="257">
          <cell r="E257">
            <v>13507105</v>
          </cell>
        </row>
        <row r="258">
          <cell r="E258">
            <v>21204082</v>
          </cell>
        </row>
        <row r="259">
          <cell r="E259">
            <v>2874000</v>
          </cell>
        </row>
        <row r="260">
          <cell r="E260">
            <v>0</v>
          </cell>
        </row>
        <row r="261">
          <cell r="E261">
            <v>0</v>
          </cell>
        </row>
        <row r="262">
          <cell r="E262">
            <v>9317400</v>
          </cell>
        </row>
        <row r="263">
          <cell r="E263">
            <v>3100000</v>
          </cell>
        </row>
        <row r="264">
          <cell r="E264">
            <v>0</v>
          </cell>
        </row>
        <row r="265">
          <cell r="E265">
            <v>0</v>
          </cell>
        </row>
        <row r="266">
          <cell r="E266">
            <v>0</v>
          </cell>
        </row>
        <row r="267">
          <cell r="E267">
            <v>0</v>
          </cell>
        </row>
        <row r="268">
          <cell r="E268">
            <v>41930000</v>
          </cell>
        </row>
        <row r="269">
          <cell r="E269">
            <v>60000</v>
          </cell>
        </row>
        <row r="270">
          <cell r="E270">
            <v>516210800</v>
          </cell>
        </row>
        <row r="271">
          <cell r="E271">
            <v>0</v>
          </cell>
        </row>
        <row r="272">
          <cell r="E272">
            <v>2390957250</v>
          </cell>
        </row>
        <row r="273">
          <cell r="E273">
            <v>254994600</v>
          </cell>
        </row>
        <row r="274">
          <cell r="E274">
            <v>0</v>
          </cell>
        </row>
        <row r="275">
          <cell r="E275">
            <v>0</v>
          </cell>
        </row>
        <row r="276">
          <cell r="E276">
            <v>0</v>
          </cell>
        </row>
        <row r="277">
          <cell r="E277">
            <v>0</v>
          </cell>
        </row>
        <row r="278">
          <cell r="E278">
            <v>68934800</v>
          </cell>
        </row>
        <row r="279">
          <cell r="E279">
            <v>0</v>
          </cell>
        </row>
        <row r="280">
          <cell r="E280">
            <v>0</v>
          </cell>
        </row>
        <row r="281">
          <cell r="E281">
            <v>0</v>
          </cell>
        </row>
        <row r="282">
          <cell r="E282">
            <v>4454350000</v>
          </cell>
        </row>
        <row r="283">
          <cell r="E283">
            <v>1104819000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5">
          <cell r="E295">
            <v>0</v>
          </cell>
        </row>
        <row r="296">
          <cell r="E296">
            <v>0</v>
          </cell>
        </row>
        <row r="298">
          <cell r="E298">
            <v>0</v>
          </cell>
        </row>
        <row r="299">
          <cell r="E299">
            <v>0</v>
          </cell>
        </row>
        <row r="300">
          <cell r="E300">
            <v>0</v>
          </cell>
        </row>
        <row r="301">
          <cell r="E301">
            <v>0</v>
          </cell>
        </row>
        <row r="302">
          <cell r="E302">
            <v>0</v>
          </cell>
        </row>
        <row r="304">
          <cell r="E304">
            <v>20500000</v>
          </cell>
        </row>
        <row r="305">
          <cell r="E305">
            <v>0</v>
          </cell>
        </row>
        <row r="307">
          <cell r="E307">
            <v>0</v>
          </cell>
        </row>
        <row r="308">
          <cell r="E308">
            <v>164935500</v>
          </cell>
        </row>
        <row r="310">
          <cell r="E310">
            <v>905000</v>
          </cell>
        </row>
        <row r="311">
          <cell r="E311">
            <v>0</v>
          </cell>
        </row>
        <row r="312">
          <cell r="E312">
            <v>0</v>
          </cell>
        </row>
        <row r="313">
          <cell r="E313">
            <v>0</v>
          </cell>
        </row>
        <row r="314">
          <cell r="E314">
            <v>6500000</v>
          </cell>
        </row>
        <row r="315">
          <cell r="E315">
            <v>0</v>
          </cell>
        </row>
        <row r="316">
          <cell r="E316">
            <v>2500000</v>
          </cell>
        </row>
        <row r="317">
          <cell r="E317">
            <v>0</v>
          </cell>
        </row>
        <row r="318">
          <cell r="E318">
            <v>0</v>
          </cell>
        </row>
        <row r="319">
          <cell r="E319">
            <v>0</v>
          </cell>
        </row>
        <row r="320">
          <cell r="E320">
            <v>0</v>
          </cell>
        </row>
        <row r="322">
          <cell r="E322">
            <v>0</v>
          </cell>
        </row>
        <row r="323">
          <cell r="E323">
            <v>79283000</v>
          </cell>
        </row>
        <row r="324">
          <cell r="E324">
            <v>2325000</v>
          </cell>
        </row>
        <row r="325">
          <cell r="E325">
            <v>0</v>
          </cell>
        </row>
        <row r="326">
          <cell r="E326">
            <v>41916000</v>
          </cell>
        </row>
        <row r="327">
          <cell r="E327">
            <v>0</v>
          </cell>
        </row>
        <row r="329">
          <cell r="E329">
            <v>0</v>
          </cell>
        </row>
        <row r="330">
          <cell r="E330">
            <v>0</v>
          </cell>
        </row>
        <row r="331">
          <cell r="E331">
            <v>0</v>
          </cell>
        </row>
        <row r="332">
          <cell r="E332">
            <v>0</v>
          </cell>
        </row>
        <row r="333">
          <cell r="E333">
            <v>0</v>
          </cell>
        </row>
        <row r="334">
          <cell r="E334">
            <v>0</v>
          </cell>
        </row>
        <row r="336">
          <cell r="E336">
            <v>5250000</v>
          </cell>
        </row>
        <row r="338">
          <cell r="E338">
            <v>0</v>
          </cell>
        </row>
        <row r="339">
          <cell r="E339">
            <v>0</v>
          </cell>
        </row>
        <row r="340">
          <cell r="E340">
            <v>0</v>
          </cell>
        </row>
        <row r="341">
          <cell r="E341">
            <v>0</v>
          </cell>
        </row>
        <row r="342">
          <cell r="E342">
            <v>0</v>
          </cell>
        </row>
        <row r="343">
          <cell r="E343">
            <v>0</v>
          </cell>
        </row>
        <row r="344">
          <cell r="E344">
            <v>0</v>
          </cell>
        </row>
        <row r="346">
          <cell r="E346">
            <v>0</v>
          </cell>
        </row>
        <row r="348">
          <cell r="E348">
            <v>0</v>
          </cell>
        </row>
        <row r="349">
          <cell r="E349">
            <v>0</v>
          </cell>
        </row>
        <row r="351">
          <cell r="E351">
            <v>1620693000</v>
          </cell>
        </row>
        <row r="353">
          <cell r="E353">
            <v>0</v>
          </cell>
        </row>
        <row r="355">
          <cell r="E355">
            <v>0</v>
          </cell>
        </row>
        <row r="356">
          <cell r="E356">
            <v>0</v>
          </cell>
        </row>
        <row r="357">
          <cell r="E357">
            <v>0</v>
          </cell>
        </row>
        <row r="358">
          <cell r="E358">
            <v>0</v>
          </cell>
        </row>
        <row r="360">
          <cell r="E360">
            <v>0</v>
          </cell>
        </row>
        <row r="361">
          <cell r="E361">
            <v>0</v>
          </cell>
        </row>
        <row r="362">
          <cell r="E362">
            <v>309008104</v>
          </cell>
          <cell r="F362">
            <v>1822865876</v>
          </cell>
        </row>
        <row r="363">
          <cell r="E363">
            <v>309008104</v>
          </cell>
        </row>
        <row r="370">
          <cell r="E370">
            <v>0</v>
          </cell>
        </row>
        <row r="375">
          <cell r="E375">
            <v>480246977</v>
          </cell>
          <cell r="F375">
            <v>534439787</v>
          </cell>
        </row>
        <row r="376">
          <cell r="E376">
            <v>480246977</v>
          </cell>
        </row>
        <row r="379">
          <cell r="E379">
            <v>0</v>
          </cell>
        </row>
        <row r="384">
          <cell r="E384">
            <v>272054200</v>
          </cell>
          <cell r="F384">
            <v>1124732450</v>
          </cell>
        </row>
        <row r="385">
          <cell r="E385">
            <v>0</v>
          </cell>
        </row>
        <row r="387">
          <cell r="E387">
            <v>0</v>
          </cell>
        </row>
        <row r="389">
          <cell r="E389">
            <v>0</v>
          </cell>
        </row>
        <row r="393">
          <cell r="E393">
            <v>0</v>
          </cell>
        </row>
        <row r="395">
          <cell r="E395">
            <v>272054200</v>
          </cell>
        </row>
        <row r="399">
          <cell r="E399">
            <v>0</v>
          </cell>
          <cell r="F399">
            <v>0</v>
          </cell>
        </row>
        <row r="400">
          <cell r="E400">
            <v>0</v>
          </cell>
        </row>
        <row r="403">
          <cell r="E403">
            <v>0</v>
          </cell>
        </row>
        <row r="405">
          <cell r="E405">
            <v>103946543717</v>
          </cell>
          <cell r="F405">
            <v>22153737064.239998</v>
          </cell>
        </row>
        <row r="406">
          <cell r="E406">
            <v>814197589</v>
          </cell>
        </row>
        <row r="407">
          <cell r="E407">
            <v>176939719</v>
          </cell>
        </row>
        <row r="408">
          <cell r="E408">
            <v>102955406409</v>
          </cell>
        </row>
        <row r="409">
          <cell r="E409">
            <v>0</v>
          </cell>
        </row>
        <row r="410">
          <cell r="E410">
            <v>0</v>
          </cell>
          <cell r="F410">
            <v>0</v>
          </cell>
        </row>
        <row r="411">
          <cell r="E411">
            <v>0</v>
          </cell>
        </row>
        <row r="413">
          <cell r="E413">
            <v>0</v>
          </cell>
        </row>
        <row r="415">
          <cell r="E415">
            <v>0</v>
          </cell>
        </row>
        <row r="420">
          <cell r="E420">
            <v>0</v>
          </cell>
        </row>
        <row r="431">
          <cell r="E431">
            <v>0</v>
          </cell>
          <cell r="F431">
            <v>0</v>
          </cell>
        </row>
        <row r="432">
          <cell r="E432">
            <v>0</v>
          </cell>
        </row>
        <row r="433">
          <cell r="E433">
            <v>0</v>
          </cell>
        </row>
        <row r="435">
          <cell r="E435">
            <v>-129227578918</v>
          </cell>
          <cell r="F435">
            <v>-54643227623.239998</v>
          </cell>
          <cell r="G435">
            <v>136.49331223443136</v>
          </cell>
          <cell r="H435">
            <v>-74584351294.76001</v>
          </cell>
        </row>
        <row r="445">
          <cell r="G445">
            <v>136.49331223443136</v>
          </cell>
          <cell r="H445">
            <v>-74584351294.76001</v>
          </cell>
        </row>
      </sheetData>
      <sheetData sheetId="5">
        <row r="9">
          <cell r="C9">
            <v>907163072349.03003</v>
          </cell>
        </row>
        <row r="10">
          <cell r="C10">
            <v>-129227578918</v>
          </cell>
        </row>
        <row r="12">
          <cell r="C12">
            <v>156593195896</v>
          </cell>
        </row>
        <row r="16">
          <cell r="E16">
            <v>-149670</v>
          </cell>
        </row>
        <row r="18">
          <cell r="I18">
            <v>17258995513</v>
          </cell>
        </row>
        <row r="44">
          <cell r="I44">
            <v>449487500</v>
          </cell>
        </row>
        <row r="49">
          <cell r="E49">
            <v>-7</v>
          </cell>
        </row>
        <row r="51">
          <cell r="C51">
            <v>-1500000</v>
          </cell>
        </row>
        <row r="52">
          <cell r="C52">
            <v>-1750000</v>
          </cell>
        </row>
        <row r="53">
          <cell r="C53">
            <v>-1750000</v>
          </cell>
        </row>
        <row r="54">
          <cell r="C54">
            <v>-3500000</v>
          </cell>
        </row>
        <row r="56">
          <cell r="C56">
            <v>1200000</v>
          </cell>
        </row>
        <row r="88">
          <cell r="C88">
            <v>934528689327.03003</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R SOTK"/>
      <sheetName val="NR"/>
      <sheetName val="LO"/>
      <sheetName val="bm 2017"/>
      <sheetName val="persd aset lainnya"/>
      <sheetName val="UTANG"/>
    </sheetNames>
    <sheetDataSet>
      <sheetData sheetId="0" refreshError="1"/>
      <sheetData sheetId="1">
        <row r="9">
          <cell r="F9">
            <v>534830700</v>
          </cell>
        </row>
        <row r="177">
          <cell r="C177">
            <v>8705891186</v>
          </cell>
          <cell r="D177">
            <v>2208123923</v>
          </cell>
          <cell r="E177">
            <v>197989423</v>
          </cell>
          <cell r="F177">
            <v>688904500</v>
          </cell>
          <cell r="G177">
            <v>198104300</v>
          </cell>
        </row>
      </sheetData>
      <sheetData sheetId="2">
        <row r="35">
          <cell r="Q35">
            <v>188721200</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AN2435"/>
  <sheetViews>
    <sheetView tabSelected="1" showWhiteSpace="0" zoomScale="118" zoomScaleNormal="118" zoomScaleSheetLayoutView="110" workbookViewId="0">
      <selection activeCell="C2263" sqref="C2263"/>
    </sheetView>
  </sheetViews>
  <sheetFormatPr defaultRowHeight="15"/>
  <cols>
    <col min="1" max="1" width="15.85546875" style="4" customWidth="1"/>
    <col min="2" max="2" width="5.7109375" style="3" customWidth="1"/>
    <col min="3" max="3" width="4.7109375" style="3" customWidth="1"/>
    <col min="4" max="5" width="2.7109375" style="3" customWidth="1"/>
    <col min="6" max="7" width="3.5703125" style="3" customWidth="1"/>
    <col min="8" max="8" width="3.7109375" style="3" customWidth="1"/>
    <col min="9" max="9" width="4.28515625" style="3" customWidth="1"/>
    <col min="10" max="10" width="3.5703125" style="3" customWidth="1"/>
    <col min="11" max="11" width="4.28515625" style="3" customWidth="1"/>
    <col min="12" max="12" width="3.140625" style="3" customWidth="1"/>
    <col min="13" max="13" width="3.7109375" style="3" customWidth="1"/>
    <col min="14" max="14" width="4" style="3" customWidth="1"/>
    <col min="15" max="15" width="3.5703125" style="3" customWidth="1"/>
    <col min="16" max="17" width="4" style="3" customWidth="1"/>
    <col min="18" max="18" width="3.5703125" style="3" customWidth="1"/>
    <col min="19" max="19" width="2.42578125" style="3" customWidth="1"/>
    <col min="20" max="20" width="1.85546875" style="6" customWidth="1"/>
    <col min="21" max="21" width="8.42578125" style="6" customWidth="1"/>
    <col min="22" max="22" width="3.5703125" style="3" customWidth="1"/>
    <col min="23" max="23" width="3.28515625" style="3" customWidth="1"/>
    <col min="24" max="24" width="2.28515625" style="3" customWidth="1"/>
    <col min="25" max="25" width="3.28515625" style="3" customWidth="1"/>
    <col min="26" max="26" width="6.42578125" style="3" customWidth="1"/>
    <col min="27" max="27" width="2.42578125" style="3" customWidth="1"/>
    <col min="28" max="28" width="2.5703125" style="3" customWidth="1"/>
    <col min="29" max="29" width="3.7109375" style="3" customWidth="1"/>
    <col min="30" max="30" width="4.28515625" style="3" customWidth="1"/>
    <col min="31" max="31" width="3.85546875" style="3" customWidth="1"/>
    <col min="32" max="32" width="5.42578125" style="3" customWidth="1"/>
    <col min="33" max="33" width="3.85546875" style="3" customWidth="1"/>
    <col min="34" max="34" width="2.7109375" style="3" customWidth="1"/>
    <col min="35" max="39" width="3" style="3" customWidth="1"/>
    <col min="40" max="40" width="16" style="3" customWidth="1"/>
    <col min="41" max="16384" width="9.140625" style="3"/>
  </cols>
  <sheetData>
    <row r="1" spans="1:22" ht="24" customHeight="1">
      <c r="A1" s="1" t="s">
        <v>0</v>
      </c>
      <c r="B1" s="1"/>
      <c r="C1" s="1"/>
      <c r="D1" s="1"/>
      <c r="E1" s="1"/>
      <c r="F1" s="1"/>
      <c r="G1" s="1"/>
      <c r="H1" s="1"/>
      <c r="I1" s="1"/>
      <c r="J1" s="1"/>
      <c r="K1" s="1"/>
      <c r="L1" s="1"/>
      <c r="M1" s="1"/>
      <c r="N1" s="1"/>
      <c r="O1" s="1"/>
      <c r="P1" s="1"/>
      <c r="Q1" s="1"/>
      <c r="R1" s="1"/>
      <c r="S1" s="1"/>
      <c r="T1" s="1"/>
      <c r="U1" s="1"/>
      <c r="V1" s="2"/>
    </row>
    <row r="2" spans="1:22">
      <c r="B2" s="5" t="s">
        <v>1</v>
      </c>
      <c r="C2" s="5"/>
      <c r="D2" s="5"/>
      <c r="E2" s="5"/>
      <c r="F2" s="5"/>
      <c r="G2" s="5"/>
      <c r="H2" s="5"/>
      <c r="I2" s="5"/>
      <c r="J2" s="5"/>
      <c r="K2" s="5"/>
      <c r="L2" s="5"/>
      <c r="M2" s="5"/>
      <c r="N2" s="5"/>
      <c r="O2" s="5"/>
      <c r="P2" s="5"/>
      <c r="Q2" s="5"/>
      <c r="R2" s="5"/>
      <c r="S2" s="5"/>
      <c r="T2" s="5"/>
      <c r="U2" s="5"/>
    </row>
    <row r="3" spans="1:22">
      <c r="B3" s="5" t="s">
        <v>2</v>
      </c>
      <c r="C3" s="5"/>
      <c r="D3" s="5"/>
      <c r="E3" s="5"/>
      <c r="F3" s="5"/>
      <c r="G3" s="5"/>
      <c r="H3" s="5"/>
      <c r="I3" s="5"/>
      <c r="J3" s="5"/>
      <c r="K3" s="5"/>
      <c r="L3" s="5"/>
      <c r="M3" s="5"/>
      <c r="N3" s="5"/>
      <c r="O3" s="5"/>
      <c r="P3" s="5"/>
      <c r="Q3" s="5"/>
      <c r="R3" s="5"/>
      <c r="S3" s="5"/>
      <c r="T3" s="5"/>
      <c r="U3" s="5"/>
    </row>
    <row r="4" spans="1:22" ht="12.75" customHeight="1">
      <c r="B4" s="6"/>
      <c r="C4" s="6"/>
      <c r="D4" s="6"/>
      <c r="E4" s="6"/>
      <c r="F4" s="6"/>
      <c r="G4" s="6"/>
      <c r="H4" s="6"/>
      <c r="I4" s="6"/>
      <c r="J4" s="6"/>
      <c r="K4" s="6"/>
      <c r="L4" s="6"/>
      <c r="M4" s="6"/>
      <c r="N4" s="6"/>
      <c r="O4" s="6"/>
      <c r="P4" s="6"/>
      <c r="Q4" s="6"/>
      <c r="R4" s="6"/>
      <c r="S4" s="6"/>
    </row>
    <row r="5" spans="1:22" ht="13.5" customHeight="1">
      <c r="A5" s="7"/>
      <c r="B5" s="8" t="s">
        <v>3</v>
      </c>
      <c r="C5" s="9" t="s">
        <v>4</v>
      </c>
      <c r="D5" s="6"/>
      <c r="E5" s="10"/>
      <c r="F5" s="10"/>
      <c r="G5" s="10"/>
      <c r="H5" s="10"/>
      <c r="I5" s="10"/>
      <c r="J5" s="10"/>
      <c r="K5" s="10"/>
      <c r="L5" s="10"/>
      <c r="M5" s="10"/>
      <c r="N5" s="10"/>
      <c r="O5" s="10"/>
      <c r="P5" s="10"/>
      <c r="Q5" s="10"/>
      <c r="R5" s="10"/>
      <c r="S5" s="10"/>
      <c r="T5" s="10"/>
      <c r="U5" s="10"/>
    </row>
    <row r="6" spans="1:22" ht="13.5" customHeight="1">
      <c r="A6" s="7"/>
      <c r="B6" s="8"/>
      <c r="C6" s="9"/>
      <c r="D6" s="6"/>
      <c r="E6" s="10"/>
      <c r="F6" s="10"/>
      <c r="G6" s="10"/>
      <c r="H6" s="10"/>
      <c r="I6" s="10"/>
      <c r="J6" s="10"/>
      <c r="K6" s="10"/>
      <c r="L6" s="10"/>
      <c r="M6" s="10"/>
      <c r="N6" s="10"/>
      <c r="O6" s="10"/>
      <c r="P6" s="10"/>
      <c r="Q6" s="10"/>
      <c r="R6" s="10"/>
      <c r="S6" s="10"/>
      <c r="T6" s="10"/>
      <c r="U6" s="10"/>
    </row>
    <row r="7" spans="1:22" ht="18" customHeight="1">
      <c r="A7" s="7"/>
      <c r="B7" s="11"/>
      <c r="C7" s="12" t="s">
        <v>5</v>
      </c>
      <c r="D7" s="13" t="s">
        <v>6</v>
      </c>
      <c r="E7" s="13"/>
      <c r="F7" s="13"/>
      <c r="G7" s="13"/>
      <c r="H7" s="13"/>
      <c r="I7" s="13"/>
      <c r="J7" s="13"/>
      <c r="K7" s="13"/>
      <c r="L7" s="13"/>
      <c r="M7" s="13"/>
      <c r="N7" s="13"/>
      <c r="O7" s="13"/>
      <c r="P7" s="13"/>
      <c r="Q7" s="13"/>
      <c r="R7" s="13"/>
      <c r="S7" s="13"/>
      <c r="T7" s="13"/>
      <c r="U7" s="13"/>
    </row>
    <row r="8" spans="1:22" ht="83.25" customHeight="1">
      <c r="A8" s="14"/>
      <c r="B8" s="15"/>
      <c r="C8" s="16" t="str">
        <f>"Laporan Keuangan "&amp;'[1]2.ISIAN DATA SKPD'!D2&amp;" disusun untuk menyediakan informasi yang relevan mengenai posisi keuangan dan seluruh transaksi yang dilakukan oleh "&amp;'[1]2.ISIAN DATA SKPD'!D2&amp;" selama satu periode pelaporan."</f>
        <v>Laporan Keuangan Dinas Pekerjaan Umum dan Penataan Ruang disusun untuk menyediakan informasi yang relevan mengenai posisi keuangan dan seluruh transaksi yang dilakukan oleh Dinas Pekerjaan Umum dan Penataan Ruang selama satu periode pelaporan.</v>
      </c>
      <c r="D8" s="16"/>
      <c r="E8" s="16"/>
      <c r="F8" s="16"/>
      <c r="G8" s="16"/>
      <c r="H8" s="16"/>
      <c r="I8" s="16"/>
      <c r="J8" s="16"/>
      <c r="K8" s="16"/>
      <c r="L8" s="16"/>
      <c r="M8" s="16"/>
      <c r="N8" s="16"/>
      <c r="O8" s="16"/>
      <c r="P8" s="16"/>
      <c r="Q8" s="16"/>
      <c r="R8" s="16"/>
      <c r="S8" s="16"/>
      <c r="T8" s="16"/>
      <c r="U8" s="16"/>
    </row>
    <row r="9" spans="1:22" ht="81" customHeight="1">
      <c r="A9" s="14"/>
      <c r="B9" s="17"/>
      <c r="C9" s="16" t="str">
        <f>"Laporan keuangan digunakan untuk membandingkan realisasi pendapatan dan belanja dengan anggaran yang telah ditetapkan. "&amp;'[1]2.ISIAN DATA SKPD'!D2&amp;" selaku entitas pelaporan mempunyai kewajiban untuk melaporkan upaya-upaya yang telah berstruktur pada suatu periode pelaporan."</f>
        <v>Laporan keuangan digunakan untuk membandingkan realisasi pendapatan dan belanja dengan anggaran yang telah ditetapkan. Dinas Pekerjaan Umum dan Penataan Ruang selaku entitas pelaporan mempunyai kewajiban untuk melaporkan upaya-upaya yang telah berstruktur pada suatu periode pelaporan.</v>
      </c>
      <c r="D9" s="16"/>
      <c r="E9" s="16"/>
      <c r="F9" s="16"/>
      <c r="G9" s="16"/>
      <c r="H9" s="16"/>
      <c r="I9" s="16"/>
      <c r="J9" s="16"/>
      <c r="K9" s="16"/>
      <c r="L9" s="16"/>
      <c r="M9" s="16"/>
      <c r="N9" s="16"/>
      <c r="O9" s="16"/>
      <c r="P9" s="16"/>
      <c r="Q9" s="16"/>
      <c r="R9" s="16"/>
      <c r="S9" s="16"/>
      <c r="T9" s="16"/>
      <c r="U9" s="16"/>
    </row>
    <row r="10" spans="1:22" ht="64.5" customHeight="1">
      <c r="A10" s="18"/>
      <c r="B10" s="19"/>
      <c r="C10" s="16" t="str">
        <f>"Maksud Penyusunan Laporan Keuangan "&amp;'[1]2.ISIAN DATA SKPD'!D2&amp;"  Kabupaten Wonosobo adalah untuk menggambarkan dan menjelaskan target pencapaian realisasi keuangan berdasarkan rencana yang telah ditetapkan."</f>
        <v>Maksud Penyusunan Laporan Keuangan Dinas Pekerjaan Umum dan Penataan Ruang  Kabupaten Wonosobo adalah untuk menggambarkan dan menjelaskan target pencapaian realisasi keuangan berdasarkan rencana yang telah ditetapkan.</v>
      </c>
      <c r="D10" s="16"/>
      <c r="E10" s="16"/>
      <c r="F10" s="16"/>
      <c r="G10" s="16"/>
      <c r="H10" s="16"/>
      <c r="I10" s="16"/>
      <c r="J10" s="16"/>
      <c r="K10" s="16"/>
      <c r="L10" s="16"/>
      <c r="M10" s="16"/>
      <c r="N10" s="16"/>
      <c r="O10" s="16"/>
      <c r="P10" s="16"/>
      <c r="Q10" s="16"/>
      <c r="R10" s="16"/>
      <c r="S10" s="16"/>
      <c r="T10" s="16"/>
      <c r="U10" s="16"/>
      <c r="V10" s="20"/>
    </row>
    <row r="11" spans="1:22" ht="16.5" customHeight="1">
      <c r="A11" s="18"/>
      <c r="B11" s="19"/>
      <c r="C11" s="12" t="s">
        <v>7</v>
      </c>
      <c r="D11" s="13" t="s">
        <v>8</v>
      </c>
      <c r="E11" s="13"/>
      <c r="F11" s="13"/>
      <c r="G11" s="13"/>
      <c r="H11" s="13"/>
      <c r="I11" s="13"/>
      <c r="J11" s="13"/>
      <c r="K11" s="13"/>
      <c r="L11" s="13"/>
      <c r="M11" s="13"/>
      <c r="N11" s="13"/>
      <c r="O11" s="13"/>
      <c r="P11" s="13"/>
      <c r="Q11" s="13"/>
      <c r="R11" s="13"/>
      <c r="S11" s="13"/>
      <c r="T11" s="13"/>
      <c r="U11" s="13"/>
      <c r="V11" s="20"/>
    </row>
    <row r="12" spans="1:22" ht="76.5" customHeight="1">
      <c r="A12" s="18"/>
      <c r="B12" s="19"/>
      <c r="C12" s="16" t="s">
        <v>9</v>
      </c>
      <c r="D12" s="16"/>
      <c r="E12" s="16"/>
      <c r="F12" s="16"/>
      <c r="G12" s="16"/>
      <c r="H12" s="16"/>
      <c r="I12" s="16"/>
      <c r="J12" s="16"/>
      <c r="K12" s="16"/>
      <c r="L12" s="16"/>
      <c r="M12" s="16"/>
      <c r="N12" s="16"/>
      <c r="O12" s="16"/>
      <c r="P12" s="16"/>
      <c r="Q12" s="16"/>
      <c r="R12" s="16"/>
      <c r="S12" s="16"/>
      <c r="T12" s="16"/>
      <c r="U12" s="16"/>
      <c r="V12" s="20"/>
    </row>
    <row r="13" spans="1:22" ht="33.75" customHeight="1">
      <c r="A13" s="18"/>
      <c r="B13" s="20"/>
      <c r="C13" s="16" t="s">
        <v>10</v>
      </c>
      <c r="D13" s="16"/>
      <c r="E13" s="16"/>
      <c r="F13" s="16"/>
      <c r="G13" s="16"/>
      <c r="H13" s="16"/>
      <c r="I13" s="16"/>
      <c r="J13" s="16"/>
      <c r="K13" s="16"/>
      <c r="L13" s="16"/>
      <c r="M13" s="16"/>
      <c r="N13" s="16"/>
      <c r="O13" s="16"/>
      <c r="P13" s="16"/>
      <c r="Q13" s="16"/>
      <c r="R13" s="16"/>
      <c r="S13" s="16"/>
      <c r="T13" s="16"/>
      <c r="U13" s="16"/>
      <c r="V13" s="20"/>
    </row>
    <row r="14" spans="1:22" ht="34.5" customHeight="1">
      <c r="A14" s="18"/>
      <c r="B14" s="20"/>
      <c r="C14" s="19" t="s">
        <v>11</v>
      </c>
      <c r="D14" s="16" t="s">
        <v>12</v>
      </c>
      <c r="E14" s="16"/>
      <c r="F14" s="16"/>
      <c r="G14" s="16"/>
      <c r="H14" s="16"/>
      <c r="I14" s="16"/>
      <c r="J14" s="16"/>
      <c r="K14" s="16"/>
      <c r="L14" s="16"/>
      <c r="M14" s="16"/>
      <c r="N14" s="16"/>
      <c r="O14" s="16"/>
      <c r="P14" s="16"/>
      <c r="Q14" s="16"/>
      <c r="R14" s="16"/>
      <c r="S14" s="16"/>
      <c r="T14" s="16"/>
      <c r="U14" s="16"/>
      <c r="V14" s="20"/>
    </row>
    <row r="15" spans="1:22" ht="34.5" customHeight="1">
      <c r="A15" s="18"/>
      <c r="B15" s="20"/>
      <c r="C15" s="19" t="s">
        <v>11</v>
      </c>
      <c r="D15" s="16" t="s">
        <v>13</v>
      </c>
      <c r="E15" s="16"/>
      <c r="F15" s="16"/>
      <c r="G15" s="16"/>
      <c r="H15" s="16"/>
      <c r="I15" s="16"/>
      <c r="J15" s="16"/>
      <c r="K15" s="16"/>
      <c r="L15" s="16"/>
      <c r="M15" s="16"/>
      <c r="N15" s="16"/>
      <c r="O15" s="16"/>
      <c r="P15" s="16"/>
      <c r="Q15" s="16"/>
      <c r="R15" s="16"/>
      <c r="S15" s="16"/>
      <c r="T15" s="16"/>
      <c r="U15" s="16"/>
      <c r="V15" s="20"/>
    </row>
    <row r="16" spans="1:22" ht="34.5" customHeight="1">
      <c r="A16" s="18"/>
      <c r="B16" s="20"/>
      <c r="C16" s="19" t="s">
        <v>11</v>
      </c>
      <c r="D16" s="16" t="s">
        <v>14</v>
      </c>
      <c r="E16" s="16"/>
      <c r="F16" s="16"/>
      <c r="G16" s="16"/>
      <c r="H16" s="16"/>
      <c r="I16" s="16"/>
      <c r="J16" s="16"/>
      <c r="K16" s="16"/>
      <c r="L16" s="16"/>
      <c r="M16" s="16"/>
      <c r="N16" s="16"/>
      <c r="O16" s="16"/>
      <c r="P16" s="16"/>
      <c r="Q16" s="16"/>
      <c r="R16" s="16"/>
      <c r="S16" s="16"/>
      <c r="T16" s="16"/>
      <c r="U16" s="16"/>
      <c r="V16" s="20"/>
    </row>
    <row r="17" spans="1:22" ht="34.5" customHeight="1">
      <c r="A17" s="18"/>
      <c r="B17" s="20"/>
      <c r="C17" s="19" t="s">
        <v>11</v>
      </c>
      <c r="D17" s="16" t="s">
        <v>15</v>
      </c>
      <c r="E17" s="16"/>
      <c r="F17" s="16"/>
      <c r="G17" s="16"/>
      <c r="H17" s="16"/>
      <c r="I17" s="16"/>
      <c r="J17" s="16"/>
      <c r="K17" s="16"/>
      <c r="L17" s="16"/>
      <c r="M17" s="16"/>
      <c r="N17" s="16"/>
      <c r="O17" s="16"/>
      <c r="P17" s="16"/>
      <c r="Q17" s="16"/>
      <c r="R17" s="16"/>
      <c r="S17" s="16"/>
      <c r="T17" s="16"/>
      <c r="U17" s="16"/>
      <c r="V17" s="20"/>
    </row>
    <row r="18" spans="1:22" ht="31.5" customHeight="1">
      <c r="A18" s="18"/>
      <c r="B18" s="20"/>
      <c r="C18" s="19" t="s">
        <v>11</v>
      </c>
      <c r="D18" s="16" t="s">
        <v>16</v>
      </c>
      <c r="E18" s="16"/>
      <c r="F18" s="16"/>
      <c r="G18" s="16"/>
      <c r="H18" s="16"/>
      <c r="I18" s="16"/>
      <c r="J18" s="16"/>
      <c r="K18" s="16"/>
      <c r="L18" s="16"/>
      <c r="M18" s="16"/>
      <c r="N18" s="16"/>
      <c r="O18" s="16"/>
      <c r="P18" s="16"/>
      <c r="Q18" s="16"/>
      <c r="R18" s="16"/>
      <c r="S18" s="16"/>
      <c r="T18" s="16"/>
      <c r="U18" s="16"/>
      <c r="V18" s="20"/>
    </row>
    <row r="19" spans="1:22" ht="31.5" customHeight="1">
      <c r="A19" s="18"/>
      <c r="B19" s="20"/>
      <c r="C19" s="19" t="s">
        <v>11</v>
      </c>
      <c r="D19" s="16" t="s">
        <v>17</v>
      </c>
      <c r="E19" s="16"/>
      <c r="F19" s="16"/>
      <c r="G19" s="16"/>
      <c r="H19" s="16"/>
      <c r="I19" s="16"/>
      <c r="J19" s="16"/>
      <c r="K19" s="16"/>
      <c r="L19" s="16"/>
      <c r="M19" s="16"/>
      <c r="N19" s="16"/>
      <c r="O19" s="16"/>
      <c r="P19" s="16"/>
      <c r="Q19" s="16"/>
      <c r="R19" s="16"/>
      <c r="S19" s="16"/>
      <c r="T19" s="16"/>
      <c r="U19" s="16"/>
      <c r="V19" s="20"/>
    </row>
    <row r="20" spans="1:22" ht="31.5" customHeight="1">
      <c r="A20" s="18"/>
      <c r="B20" s="20"/>
      <c r="C20" s="19" t="s">
        <v>11</v>
      </c>
      <c r="D20" s="16" t="s">
        <v>18</v>
      </c>
      <c r="E20" s="16"/>
      <c r="F20" s="16"/>
      <c r="G20" s="16"/>
      <c r="H20" s="16"/>
      <c r="I20" s="16"/>
      <c r="J20" s="16"/>
      <c r="K20" s="16"/>
      <c r="L20" s="16"/>
      <c r="M20" s="16"/>
      <c r="N20" s="16"/>
      <c r="O20" s="16"/>
      <c r="P20" s="16"/>
      <c r="Q20" s="16"/>
      <c r="R20" s="16"/>
      <c r="S20" s="16"/>
      <c r="T20" s="16"/>
      <c r="U20" s="16"/>
      <c r="V20" s="20"/>
    </row>
    <row r="21" spans="1:22" ht="83.25" customHeight="1">
      <c r="A21" s="18"/>
      <c r="B21" s="20"/>
      <c r="C21" s="16" t="s">
        <v>19</v>
      </c>
      <c r="D21" s="16"/>
      <c r="E21" s="16"/>
      <c r="F21" s="16"/>
      <c r="G21" s="16"/>
      <c r="H21" s="16"/>
      <c r="I21" s="16"/>
      <c r="J21" s="16"/>
      <c r="K21" s="16"/>
      <c r="L21" s="16"/>
      <c r="M21" s="16"/>
      <c r="N21" s="16"/>
      <c r="O21" s="16"/>
      <c r="P21" s="16"/>
      <c r="Q21" s="16"/>
      <c r="R21" s="16"/>
      <c r="S21" s="16"/>
      <c r="T21" s="16"/>
      <c r="U21" s="16"/>
      <c r="V21" s="20"/>
    </row>
    <row r="22" spans="1:22" ht="40.5" customHeight="1">
      <c r="A22" s="21"/>
      <c r="B22" s="22"/>
      <c r="C22" s="23" t="str">
        <f>"Laporan Keuangan "&amp;'[1]2.ISIAN DATA SKPD'!D2&amp;"Kabupaten Wonosobo  terdiri dari :"</f>
        <v>Laporan Keuangan Dinas Pekerjaan Umum dan Penataan RuangKabupaten Wonosobo  terdiri dari :</v>
      </c>
      <c r="D22" s="23"/>
      <c r="E22" s="23"/>
      <c r="F22" s="23"/>
      <c r="G22" s="23"/>
      <c r="H22" s="23"/>
      <c r="I22" s="23"/>
      <c r="J22" s="23"/>
      <c r="K22" s="23"/>
      <c r="L22" s="23"/>
      <c r="M22" s="23"/>
      <c r="N22" s="23"/>
      <c r="O22" s="23"/>
      <c r="P22" s="23"/>
      <c r="Q22" s="23"/>
      <c r="R22" s="23"/>
      <c r="S22" s="23"/>
      <c r="T22" s="23"/>
      <c r="U22" s="23"/>
      <c r="V22" s="22"/>
    </row>
    <row r="23" spans="1:22" ht="16.5" customHeight="1">
      <c r="A23" s="21"/>
      <c r="B23" s="22"/>
      <c r="C23" s="23" t="s">
        <v>20</v>
      </c>
      <c r="D23" s="23"/>
      <c r="E23" s="23"/>
      <c r="F23" s="23"/>
      <c r="G23" s="23"/>
      <c r="H23" s="23"/>
      <c r="I23" s="23"/>
      <c r="J23" s="23"/>
      <c r="K23" s="23"/>
      <c r="L23" s="23"/>
      <c r="M23" s="23"/>
      <c r="N23" s="23"/>
      <c r="O23" s="23"/>
      <c r="P23" s="23"/>
      <c r="Q23" s="23"/>
      <c r="R23" s="23"/>
      <c r="S23" s="23"/>
      <c r="T23" s="23"/>
      <c r="U23" s="24"/>
      <c r="V23" s="22"/>
    </row>
    <row r="24" spans="1:22" ht="16.5" customHeight="1">
      <c r="A24" s="21"/>
      <c r="B24" s="22"/>
      <c r="C24" s="23" t="s">
        <v>21</v>
      </c>
      <c r="D24" s="23"/>
      <c r="E24" s="23"/>
      <c r="F24" s="23"/>
      <c r="G24" s="23"/>
      <c r="H24" s="23"/>
      <c r="I24" s="23"/>
      <c r="J24" s="23"/>
      <c r="K24" s="23"/>
      <c r="L24" s="23"/>
      <c r="M24" s="23"/>
      <c r="N24" s="23"/>
      <c r="O24" s="23"/>
      <c r="P24" s="23"/>
      <c r="Q24" s="23"/>
      <c r="R24" s="23"/>
      <c r="S24" s="23"/>
      <c r="T24" s="23"/>
      <c r="U24" s="24"/>
      <c r="V24" s="22"/>
    </row>
    <row r="25" spans="1:22" ht="16.5" customHeight="1">
      <c r="A25" s="21"/>
      <c r="B25" s="22"/>
      <c r="C25" s="23" t="s">
        <v>22</v>
      </c>
      <c r="D25" s="23"/>
      <c r="E25" s="23"/>
      <c r="F25" s="23"/>
      <c r="G25" s="23"/>
      <c r="H25" s="23"/>
      <c r="I25" s="23"/>
      <c r="J25" s="23"/>
      <c r="K25" s="23"/>
      <c r="L25" s="23"/>
      <c r="M25" s="23"/>
      <c r="N25" s="23"/>
      <c r="O25" s="23"/>
      <c r="P25" s="23"/>
      <c r="Q25" s="23"/>
      <c r="R25" s="23"/>
      <c r="S25" s="23"/>
      <c r="T25" s="23"/>
      <c r="U25" s="24"/>
      <c r="V25" s="22"/>
    </row>
    <row r="26" spans="1:22" ht="16.5" customHeight="1">
      <c r="A26" s="21"/>
      <c r="B26" s="22"/>
      <c r="C26" s="23" t="s">
        <v>23</v>
      </c>
      <c r="D26" s="23"/>
      <c r="E26" s="23"/>
      <c r="F26" s="23"/>
      <c r="G26" s="23"/>
      <c r="H26" s="23"/>
      <c r="I26" s="23"/>
      <c r="J26" s="23"/>
      <c r="K26" s="23"/>
      <c r="L26" s="23"/>
      <c r="M26" s="23"/>
      <c r="N26" s="23"/>
      <c r="O26" s="23"/>
      <c r="P26" s="23"/>
      <c r="Q26" s="23"/>
      <c r="R26" s="23"/>
      <c r="S26" s="23"/>
      <c r="T26" s="23"/>
      <c r="U26" s="24"/>
      <c r="V26" s="22"/>
    </row>
    <row r="27" spans="1:22" ht="16.5" customHeight="1">
      <c r="A27" s="25"/>
      <c r="B27" s="26"/>
      <c r="C27" s="23" t="s">
        <v>24</v>
      </c>
      <c r="D27" s="23"/>
      <c r="E27" s="23"/>
      <c r="F27" s="23"/>
      <c r="G27" s="23"/>
      <c r="H27" s="23"/>
      <c r="I27" s="23"/>
      <c r="J27" s="23"/>
      <c r="K27" s="23"/>
      <c r="L27" s="23"/>
      <c r="M27" s="23"/>
      <c r="N27" s="23"/>
      <c r="O27" s="23"/>
      <c r="P27" s="23"/>
      <c r="Q27" s="23"/>
      <c r="R27" s="23"/>
      <c r="S27" s="23"/>
      <c r="T27" s="23"/>
      <c r="U27" s="24"/>
      <c r="V27" s="27"/>
    </row>
    <row r="28" spans="1:22" ht="16.5" customHeight="1">
      <c r="A28" s="25"/>
      <c r="B28" s="26"/>
      <c r="C28" s="28"/>
      <c r="D28" s="28"/>
      <c r="E28" s="28"/>
      <c r="F28" s="28"/>
      <c r="G28" s="28"/>
      <c r="H28" s="28"/>
      <c r="I28" s="28"/>
      <c r="J28" s="28"/>
      <c r="K28" s="28"/>
      <c r="L28" s="28"/>
      <c r="M28" s="28"/>
      <c r="N28" s="28"/>
      <c r="O28" s="28"/>
      <c r="P28" s="28"/>
      <c r="Q28" s="28"/>
      <c r="R28" s="28"/>
      <c r="S28" s="28"/>
      <c r="T28" s="28"/>
      <c r="U28" s="29"/>
      <c r="V28" s="27"/>
    </row>
    <row r="29" spans="1:22" s="20" customFormat="1" ht="18.75" customHeight="1">
      <c r="A29" s="30"/>
      <c r="B29" s="31" t="s">
        <v>25</v>
      </c>
      <c r="C29" s="32" t="s">
        <v>26</v>
      </c>
      <c r="D29" s="32"/>
      <c r="E29" s="32"/>
      <c r="F29" s="32"/>
      <c r="G29" s="32"/>
      <c r="H29" s="32"/>
      <c r="I29" s="32"/>
      <c r="J29" s="32"/>
      <c r="K29" s="32"/>
      <c r="L29" s="32"/>
      <c r="M29" s="32"/>
      <c r="N29" s="32"/>
      <c r="O29" s="32"/>
      <c r="P29" s="32"/>
      <c r="Q29" s="32"/>
      <c r="R29" s="32"/>
      <c r="S29" s="32"/>
      <c r="T29" s="32"/>
      <c r="U29" s="28"/>
      <c r="V29" s="27"/>
    </row>
    <row r="30" spans="1:22" s="20" customFormat="1" ht="93" customHeight="1">
      <c r="A30" s="30"/>
      <c r="B30" s="27"/>
      <c r="C30" s="16" t="str">
        <f>"Sebagaimana halnya dengan  proses  Penyusunan  APBD dan Perubahan APBD, maka dalam penyusunan Pertanggungjawaban Pelaksanaan  Anggaran Pendapatan dan Belanja  "&amp;'[1]2.ISIAN DATA SKPD'!D2&amp;" Kabupaten Wonosobo Tahun Anggaran "&amp;'[1]2.ISIAN DATA SKPD'!D11&amp;" ini tetap berpedoman pada ketentuan dan peraturan perundang-undangan yang berlaku."</f>
        <v>Sebagaimana halnya dengan  proses  Penyusunan  APBD dan Perubahan APBD, maka dalam penyusunan Pertanggungjawaban Pelaksanaan  Anggaran Pendapatan dan Belanja  Dinas Pekerjaan Umum dan Penataan Ruang Kabupaten Wonosobo Tahun Anggaran 2017 ini tetap berpedoman pada ketentuan dan peraturan perundang-undangan yang berlaku.</v>
      </c>
      <c r="D30" s="16"/>
      <c r="E30" s="16"/>
      <c r="F30" s="16"/>
      <c r="G30" s="16"/>
      <c r="H30" s="16"/>
      <c r="I30" s="16"/>
      <c r="J30" s="16"/>
      <c r="K30" s="16"/>
      <c r="L30" s="16"/>
      <c r="M30" s="16"/>
      <c r="N30" s="16"/>
      <c r="O30" s="16"/>
      <c r="P30" s="16"/>
      <c r="Q30" s="16"/>
      <c r="R30" s="16"/>
      <c r="S30" s="16"/>
      <c r="T30" s="16"/>
      <c r="U30" s="16"/>
      <c r="V30" s="27"/>
    </row>
    <row r="31" spans="1:22" s="20" customFormat="1" ht="48.75" customHeight="1">
      <c r="A31" s="25"/>
      <c r="B31" s="27"/>
      <c r="C31" s="16" t="s">
        <v>27</v>
      </c>
      <c r="D31" s="16"/>
      <c r="E31" s="16"/>
      <c r="F31" s="16"/>
      <c r="G31" s="16"/>
      <c r="H31" s="16"/>
      <c r="I31" s="16"/>
      <c r="J31" s="16"/>
      <c r="K31" s="16"/>
      <c r="L31" s="16"/>
      <c r="M31" s="16"/>
      <c r="N31" s="16"/>
      <c r="O31" s="16"/>
      <c r="P31" s="16"/>
      <c r="Q31" s="16"/>
      <c r="R31" s="16"/>
      <c r="S31" s="16"/>
      <c r="T31" s="16"/>
      <c r="U31" s="16"/>
      <c r="V31" s="27"/>
    </row>
    <row r="32" spans="1:22" s="20" customFormat="1" ht="31.5" customHeight="1">
      <c r="A32" s="33"/>
      <c r="B32" s="27"/>
      <c r="C32" s="34">
        <v>1</v>
      </c>
      <c r="D32" s="16" t="s">
        <v>28</v>
      </c>
      <c r="E32" s="16"/>
      <c r="F32" s="16"/>
      <c r="G32" s="16"/>
      <c r="H32" s="16"/>
      <c r="I32" s="16"/>
      <c r="J32" s="16"/>
      <c r="K32" s="16"/>
      <c r="L32" s="16"/>
      <c r="M32" s="16"/>
      <c r="N32" s="16"/>
      <c r="O32" s="16"/>
      <c r="P32" s="16"/>
      <c r="Q32" s="16"/>
      <c r="R32" s="16"/>
      <c r="S32" s="16"/>
      <c r="T32" s="16"/>
      <c r="U32" s="16"/>
      <c r="V32" s="27"/>
    </row>
    <row r="33" spans="1:38" s="20" customFormat="1" ht="30.75" customHeight="1">
      <c r="A33" s="33"/>
      <c r="B33" s="27"/>
      <c r="C33" s="34">
        <f>C32+1</f>
        <v>2</v>
      </c>
      <c r="D33" s="16" t="s">
        <v>29</v>
      </c>
      <c r="E33" s="16"/>
      <c r="F33" s="16"/>
      <c r="G33" s="16"/>
      <c r="H33" s="16"/>
      <c r="I33" s="16"/>
      <c r="J33" s="16"/>
      <c r="K33" s="16"/>
      <c r="L33" s="16"/>
      <c r="M33" s="16"/>
      <c r="N33" s="16"/>
      <c r="O33" s="16"/>
      <c r="P33" s="16"/>
      <c r="Q33" s="16"/>
      <c r="R33" s="16"/>
      <c r="S33" s="16"/>
      <c r="T33" s="16"/>
      <c r="U33" s="16"/>
      <c r="V33" s="27"/>
    </row>
    <row r="34" spans="1:38" s="20" customFormat="1" ht="78" customHeight="1">
      <c r="A34" s="33"/>
      <c r="B34" s="27"/>
      <c r="C34" s="34">
        <f t="shared" ref="C34:C55" si="0">C33+1</f>
        <v>3</v>
      </c>
      <c r="D34" s="16" t="s">
        <v>30</v>
      </c>
      <c r="E34" s="16"/>
      <c r="F34" s="16"/>
      <c r="G34" s="16"/>
      <c r="H34" s="16"/>
      <c r="I34" s="16"/>
      <c r="J34" s="16"/>
      <c r="K34" s="16"/>
      <c r="L34" s="16"/>
      <c r="M34" s="16"/>
      <c r="N34" s="16"/>
      <c r="O34" s="16"/>
      <c r="P34" s="16"/>
      <c r="Q34" s="16"/>
      <c r="R34" s="16"/>
      <c r="S34" s="16"/>
      <c r="T34" s="16"/>
      <c r="U34" s="16"/>
      <c r="V34" s="27"/>
    </row>
    <row r="35" spans="1:38" s="20" customFormat="1" ht="35.25" customHeight="1">
      <c r="A35" s="33"/>
      <c r="B35" s="27"/>
      <c r="C35" s="34">
        <f t="shared" si="0"/>
        <v>4</v>
      </c>
      <c r="D35" s="16" t="s">
        <v>31</v>
      </c>
      <c r="E35" s="16"/>
      <c r="F35" s="16"/>
      <c r="G35" s="16"/>
      <c r="H35" s="16"/>
      <c r="I35" s="16"/>
      <c r="J35" s="16"/>
      <c r="K35" s="16"/>
      <c r="L35" s="16"/>
      <c r="M35" s="16"/>
      <c r="N35" s="16"/>
      <c r="O35" s="16"/>
      <c r="P35" s="16"/>
      <c r="Q35" s="16"/>
      <c r="R35" s="16"/>
      <c r="S35" s="16"/>
      <c r="T35" s="16"/>
      <c r="U35" s="16"/>
      <c r="V35" s="27"/>
    </row>
    <row r="36" spans="1:38" s="20" customFormat="1" ht="35.25" customHeight="1">
      <c r="A36" s="33"/>
      <c r="B36" s="27"/>
      <c r="C36" s="34">
        <f t="shared" si="0"/>
        <v>5</v>
      </c>
      <c r="D36" s="16" t="s">
        <v>32</v>
      </c>
      <c r="E36" s="16"/>
      <c r="F36" s="16"/>
      <c r="G36" s="16"/>
      <c r="H36" s="16"/>
      <c r="I36" s="16"/>
      <c r="J36" s="16"/>
      <c r="K36" s="16"/>
      <c r="L36" s="16"/>
      <c r="M36" s="16"/>
      <c r="N36" s="16"/>
      <c r="O36" s="16"/>
      <c r="P36" s="16"/>
      <c r="Q36" s="16"/>
      <c r="R36" s="16"/>
      <c r="S36" s="16"/>
      <c r="T36" s="16"/>
      <c r="U36" s="16"/>
      <c r="V36" s="27"/>
    </row>
    <row r="37" spans="1:38" s="20" customFormat="1" ht="32.25" customHeight="1">
      <c r="A37" s="33"/>
      <c r="B37" s="27"/>
      <c r="C37" s="35">
        <f t="shared" si="0"/>
        <v>6</v>
      </c>
      <c r="D37" s="23" t="s">
        <v>33</v>
      </c>
      <c r="E37" s="23"/>
      <c r="F37" s="23"/>
      <c r="G37" s="23"/>
      <c r="H37" s="23"/>
      <c r="I37" s="23"/>
      <c r="J37" s="23"/>
      <c r="K37" s="23"/>
      <c r="L37" s="23"/>
      <c r="M37" s="23"/>
      <c r="N37" s="23"/>
      <c r="O37" s="23"/>
      <c r="P37" s="23"/>
      <c r="Q37" s="23"/>
      <c r="R37" s="23"/>
      <c r="S37" s="23"/>
      <c r="T37" s="23"/>
      <c r="U37" s="23"/>
      <c r="V37" s="27"/>
    </row>
    <row r="38" spans="1:38" s="20" customFormat="1" ht="32.25" customHeight="1">
      <c r="A38" s="33"/>
      <c r="B38" s="27"/>
      <c r="C38" s="35">
        <f t="shared" si="0"/>
        <v>7</v>
      </c>
      <c r="D38" s="23" t="s">
        <v>34</v>
      </c>
      <c r="E38" s="23"/>
      <c r="F38" s="23"/>
      <c r="G38" s="23"/>
      <c r="H38" s="23"/>
      <c r="I38" s="23"/>
      <c r="J38" s="23"/>
      <c r="K38" s="23"/>
      <c r="L38" s="23"/>
      <c r="M38" s="23"/>
      <c r="N38" s="23"/>
      <c r="O38" s="23"/>
      <c r="P38" s="23"/>
      <c r="Q38" s="23"/>
      <c r="R38" s="23"/>
      <c r="S38" s="23"/>
      <c r="T38" s="23"/>
      <c r="U38" s="23"/>
      <c r="V38" s="27"/>
    </row>
    <row r="39" spans="1:38" s="20" customFormat="1" ht="32.25" customHeight="1">
      <c r="A39" s="33"/>
      <c r="B39" s="27"/>
      <c r="C39" s="35">
        <f t="shared" si="0"/>
        <v>8</v>
      </c>
      <c r="D39" s="23" t="s">
        <v>35</v>
      </c>
      <c r="E39" s="23"/>
      <c r="F39" s="23"/>
      <c r="G39" s="23"/>
      <c r="H39" s="23"/>
      <c r="I39" s="23"/>
      <c r="J39" s="23"/>
      <c r="K39" s="23"/>
      <c r="L39" s="23"/>
      <c r="M39" s="23"/>
      <c r="N39" s="23"/>
      <c r="O39" s="23"/>
      <c r="P39" s="23"/>
      <c r="Q39" s="23"/>
      <c r="R39" s="23"/>
      <c r="S39" s="23"/>
      <c r="T39" s="23"/>
      <c r="U39" s="23"/>
      <c r="V39" s="27"/>
    </row>
    <row r="40" spans="1:38" s="20" customFormat="1" ht="32.25" customHeight="1">
      <c r="A40" s="33"/>
      <c r="B40" s="27"/>
      <c r="C40" s="35">
        <f t="shared" si="0"/>
        <v>9</v>
      </c>
      <c r="D40" s="23" t="s">
        <v>36</v>
      </c>
      <c r="E40" s="23"/>
      <c r="F40" s="23"/>
      <c r="G40" s="23"/>
      <c r="H40" s="23"/>
      <c r="I40" s="23"/>
      <c r="J40" s="23"/>
      <c r="K40" s="23"/>
      <c r="L40" s="23"/>
      <c r="M40" s="23"/>
      <c r="N40" s="23"/>
      <c r="O40" s="23"/>
      <c r="P40" s="23"/>
      <c r="Q40" s="23"/>
      <c r="R40" s="23"/>
      <c r="S40" s="23"/>
      <c r="T40" s="23"/>
      <c r="U40" s="23"/>
      <c r="V40" s="27"/>
    </row>
    <row r="41" spans="1:38" s="20" customFormat="1" ht="34.5" customHeight="1">
      <c r="A41" s="33"/>
      <c r="B41" s="27"/>
      <c r="C41" s="35">
        <f t="shared" si="0"/>
        <v>10</v>
      </c>
      <c r="D41" s="23" t="s">
        <v>37</v>
      </c>
      <c r="E41" s="23"/>
      <c r="F41" s="23"/>
      <c r="G41" s="23"/>
      <c r="H41" s="23"/>
      <c r="I41" s="23"/>
      <c r="J41" s="23"/>
      <c r="K41" s="23"/>
      <c r="L41" s="23"/>
      <c r="M41" s="23"/>
      <c r="N41" s="23"/>
      <c r="O41" s="23"/>
      <c r="P41" s="23"/>
      <c r="Q41" s="23"/>
      <c r="R41" s="23"/>
      <c r="S41" s="23"/>
      <c r="T41" s="23"/>
      <c r="U41" s="23"/>
      <c r="V41" s="27"/>
    </row>
    <row r="42" spans="1:38" s="20" customFormat="1" ht="34.5" customHeight="1">
      <c r="A42" s="33"/>
      <c r="B42" s="27"/>
      <c r="C42" s="35">
        <f t="shared" si="0"/>
        <v>11</v>
      </c>
      <c r="D42" s="23" t="s">
        <v>38</v>
      </c>
      <c r="E42" s="23"/>
      <c r="F42" s="23"/>
      <c r="G42" s="23"/>
      <c r="H42" s="23"/>
      <c r="I42" s="23"/>
      <c r="J42" s="23"/>
      <c r="K42" s="23"/>
      <c r="L42" s="23"/>
      <c r="M42" s="23"/>
      <c r="N42" s="23"/>
      <c r="O42" s="23"/>
      <c r="P42" s="23"/>
      <c r="Q42" s="23"/>
      <c r="R42" s="23"/>
      <c r="S42" s="23"/>
      <c r="T42" s="23"/>
      <c r="U42" s="23"/>
      <c r="V42" s="27"/>
    </row>
    <row r="43" spans="1:38" s="20" customFormat="1" ht="64.5" customHeight="1">
      <c r="A43" s="33"/>
      <c r="B43" s="27"/>
      <c r="C43" s="35">
        <f t="shared" si="0"/>
        <v>12</v>
      </c>
      <c r="D43" s="23" t="s">
        <v>39</v>
      </c>
      <c r="E43" s="23"/>
      <c r="F43" s="23"/>
      <c r="G43" s="23"/>
      <c r="H43" s="23"/>
      <c r="I43" s="23"/>
      <c r="J43" s="23"/>
      <c r="K43" s="23"/>
      <c r="L43" s="23"/>
      <c r="M43" s="23"/>
      <c r="N43" s="23"/>
      <c r="O43" s="23"/>
      <c r="P43" s="23"/>
      <c r="Q43" s="23"/>
      <c r="R43" s="23"/>
      <c r="S43" s="23"/>
      <c r="T43" s="23"/>
      <c r="U43" s="23"/>
      <c r="V43" s="27"/>
    </row>
    <row r="44" spans="1:38" s="20" customFormat="1" ht="34.5" customHeight="1">
      <c r="A44" s="33"/>
      <c r="B44" s="27"/>
      <c r="C44" s="35">
        <f t="shared" si="0"/>
        <v>13</v>
      </c>
      <c r="D44" s="23" t="s">
        <v>40</v>
      </c>
      <c r="E44" s="23"/>
      <c r="F44" s="23"/>
      <c r="G44" s="23"/>
      <c r="H44" s="23"/>
      <c r="I44" s="23"/>
      <c r="J44" s="23"/>
      <c r="K44" s="23"/>
      <c r="L44" s="23"/>
      <c r="M44" s="23"/>
      <c r="N44" s="23"/>
      <c r="O44" s="23"/>
      <c r="P44" s="23"/>
      <c r="Q44" s="23"/>
      <c r="R44" s="23"/>
      <c r="S44" s="23"/>
      <c r="T44" s="23"/>
      <c r="U44" s="23"/>
      <c r="V44" s="16"/>
      <c r="W44" s="16"/>
      <c r="X44" s="16"/>
      <c r="Y44" s="16"/>
      <c r="Z44" s="16"/>
      <c r="AA44" s="16"/>
      <c r="AB44" s="16"/>
      <c r="AC44" s="16"/>
      <c r="AD44" s="16"/>
      <c r="AE44" s="16"/>
      <c r="AF44" s="16"/>
      <c r="AG44" s="16"/>
      <c r="AH44" s="16"/>
      <c r="AI44" s="16"/>
      <c r="AJ44" s="16"/>
      <c r="AK44" s="16"/>
      <c r="AL44" s="16"/>
    </row>
    <row r="45" spans="1:38" s="20" customFormat="1" ht="45.75" customHeight="1">
      <c r="A45" s="33"/>
      <c r="B45" s="27"/>
      <c r="C45" s="35">
        <f t="shared" si="0"/>
        <v>14</v>
      </c>
      <c r="D45" s="23" t="s">
        <v>41</v>
      </c>
      <c r="E45" s="23"/>
      <c r="F45" s="23"/>
      <c r="G45" s="23"/>
      <c r="H45" s="23"/>
      <c r="I45" s="23"/>
      <c r="J45" s="23"/>
      <c r="K45" s="23"/>
      <c r="L45" s="23"/>
      <c r="M45" s="23"/>
      <c r="N45" s="23"/>
      <c r="O45" s="23"/>
      <c r="P45" s="23"/>
      <c r="Q45" s="23"/>
      <c r="R45" s="23"/>
      <c r="S45" s="23"/>
      <c r="T45" s="23"/>
      <c r="U45" s="23"/>
      <c r="V45" s="28"/>
      <c r="W45" s="28"/>
      <c r="X45" s="28"/>
      <c r="Y45" s="28"/>
      <c r="Z45" s="28"/>
      <c r="AA45" s="28"/>
      <c r="AB45" s="28"/>
      <c r="AC45" s="28"/>
      <c r="AD45" s="28"/>
      <c r="AE45" s="28"/>
      <c r="AF45" s="28"/>
      <c r="AG45" s="28"/>
      <c r="AH45" s="28"/>
      <c r="AI45" s="28"/>
      <c r="AJ45" s="28"/>
      <c r="AK45" s="28"/>
      <c r="AL45" s="28"/>
    </row>
    <row r="46" spans="1:38" s="20" customFormat="1" ht="36" customHeight="1">
      <c r="A46" s="33"/>
      <c r="B46" s="27"/>
      <c r="C46" s="35">
        <f t="shared" si="0"/>
        <v>15</v>
      </c>
      <c r="D46" s="23" t="s">
        <v>42</v>
      </c>
      <c r="E46" s="23"/>
      <c r="F46" s="23"/>
      <c r="G46" s="23"/>
      <c r="H46" s="23"/>
      <c r="I46" s="23"/>
      <c r="J46" s="23"/>
      <c r="K46" s="23"/>
      <c r="L46" s="23"/>
      <c r="M46" s="23"/>
      <c r="N46" s="23"/>
      <c r="O46" s="23"/>
      <c r="P46" s="23"/>
      <c r="Q46" s="23"/>
      <c r="R46" s="23"/>
      <c r="S46" s="23"/>
      <c r="T46" s="23"/>
      <c r="U46" s="23"/>
      <c r="V46" s="28"/>
      <c r="W46" s="28"/>
      <c r="X46" s="28"/>
      <c r="Y46" s="28"/>
      <c r="Z46" s="28"/>
      <c r="AA46" s="28"/>
      <c r="AB46" s="28"/>
      <c r="AC46" s="28"/>
      <c r="AD46" s="28"/>
      <c r="AE46" s="28"/>
      <c r="AF46" s="28"/>
      <c r="AG46" s="28"/>
      <c r="AH46" s="28"/>
      <c r="AI46" s="28"/>
      <c r="AJ46" s="28"/>
      <c r="AK46" s="28"/>
      <c r="AL46" s="28"/>
    </row>
    <row r="47" spans="1:38" s="20" customFormat="1" ht="48" customHeight="1">
      <c r="A47" s="33"/>
      <c r="B47" s="27"/>
      <c r="C47" s="35">
        <f t="shared" si="0"/>
        <v>16</v>
      </c>
      <c r="D47" s="23" t="s">
        <v>43</v>
      </c>
      <c r="E47" s="23"/>
      <c r="F47" s="23"/>
      <c r="G47" s="23"/>
      <c r="H47" s="23"/>
      <c r="I47" s="23"/>
      <c r="J47" s="23"/>
      <c r="K47" s="23"/>
      <c r="L47" s="23"/>
      <c r="M47" s="23"/>
      <c r="N47" s="23"/>
      <c r="O47" s="23"/>
      <c r="P47" s="23"/>
      <c r="Q47" s="23"/>
      <c r="R47" s="23"/>
      <c r="S47" s="23"/>
      <c r="T47" s="23"/>
      <c r="U47" s="23"/>
      <c r="V47" s="27"/>
    </row>
    <row r="48" spans="1:38" s="20" customFormat="1" ht="33.75" customHeight="1">
      <c r="A48" s="33"/>
      <c r="B48" s="27"/>
      <c r="C48" s="35">
        <f t="shared" si="0"/>
        <v>17</v>
      </c>
      <c r="D48" s="23" t="s">
        <v>44</v>
      </c>
      <c r="E48" s="23"/>
      <c r="F48" s="23"/>
      <c r="G48" s="23"/>
      <c r="H48" s="23"/>
      <c r="I48" s="23"/>
      <c r="J48" s="23"/>
      <c r="K48" s="23"/>
      <c r="L48" s="23"/>
      <c r="M48" s="23"/>
      <c r="N48" s="23"/>
      <c r="O48" s="23"/>
      <c r="P48" s="23"/>
      <c r="Q48" s="23"/>
      <c r="R48" s="23"/>
      <c r="S48" s="23"/>
      <c r="T48" s="23"/>
      <c r="U48" s="23"/>
      <c r="V48" s="27"/>
    </row>
    <row r="49" spans="1:38" s="20" customFormat="1" ht="75.75" customHeight="1">
      <c r="A49" s="33"/>
      <c r="B49" s="27"/>
      <c r="C49" s="35">
        <f t="shared" si="0"/>
        <v>18</v>
      </c>
      <c r="D49" s="23" t="s">
        <v>45</v>
      </c>
      <c r="E49" s="23"/>
      <c r="F49" s="23"/>
      <c r="G49" s="23"/>
      <c r="H49" s="23"/>
      <c r="I49" s="23"/>
      <c r="J49" s="23"/>
      <c r="K49" s="23"/>
      <c r="L49" s="23"/>
      <c r="M49" s="23"/>
      <c r="N49" s="23"/>
      <c r="O49" s="23"/>
      <c r="P49" s="23"/>
      <c r="Q49" s="23"/>
      <c r="R49" s="23"/>
      <c r="S49" s="23"/>
      <c r="T49" s="23"/>
      <c r="U49" s="23"/>
      <c r="V49" s="27"/>
    </row>
    <row r="50" spans="1:38" s="20" customFormat="1" ht="30" customHeight="1">
      <c r="A50" s="33"/>
      <c r="B50" s="27"/>
      <c r="C50" s="35">
        <f t="shared" si="0"/>
        <v>19</v>
      </c>
      <c r="D50" s="23" t="s">
        <v>46</v>
      </c>
      <c r="E50" s="23"/>
      <c r="F50" s="23"/>
      <c r="G50" s="23"/>
      <c r="H50" s="23"/>
      <c r="I50" s="23"/>
      <c r="J50" s="23"/>
      <c r="K50" s="23"/>
      <c r="L50" s="23"/>
      <c r="M50" s="23"/>
      <c r="N50" s="23"/>
      <c r="O50" s="23"/>
      <c r="P50" s="23"/>
      <c r="Q50" s="23"/>
      <c r="R50" s="23"/>
      <c r="S50" s="23"/>
      <c r="T50" s="23"/>
      <c r="U50" s="23"/>
      <c r="V50" s="27"/>
    </row>
    <row r="51" spans="1:38" s="20" customFormat="1" ht="30.75" customHeight="1">
      <c r="A51" s="33"/>
      <c r="B51" s="27"/>
      <c r="C51" s="34">
        <f t="shared" si="0"/>
        <v>20</v>
      </c>
      <c r="D51" s="16" t="s">
        <v>47</v>
      </c>
      <c r="E51" s="16"/>
      <c r="F51" s="16"/>
      <c r="G51" s="16"/>
      <c r="H51" s="16"/>
      <c r="I51" s="16"/>
      <c r="J51" s="16"/>
      <c r="K51" s="16"/>
      <c r="L51" s="16"/>
      <c r="M51" s="16"/>
      <c r="N51" s="16"/>
      <c r="O51" s="16"/>
      <c r="P51" s="16"/>
      <c r="Q51" s="16"/>
      <c r="R51" s="16"/>
      <c r="S51" s="16"/>
      <c r="T51" s="16"/>
      <c r="U51" s="16"/>
      <c r="V51" s="36"/>
      <c r="W51" s="36"/>
      <c r="X51" s="36"/>
      <c r="Y51" s="36"/>
      <c r="Z51" s="36"/>
      <c r="AA51" s="36"/>
      <c r="AB51" s="36"/>
      <c r="AC51" s="36"/>
      <c r="AD51" s="36"/>
      <c r="AE51" s="36"/>
      <c r="AF51" s="36"/>
      <c r="AG51" s="36"/>
      <c r="AH51" s="36"/>
      <c r="AI51" s="36"/>
      <c r="AJ51" s="36"/>
      <c r="AK51" s="36"/>
      <c r="AL51" s="36"/>
    </row>
    <row r="52" spans="1:38" s="20" customFormat="1" ht="30" customHeight="1">
      <c r="A52" s="33"/>
      <c r="B52" s="27"/>
      <c r="C52" s="34">
        <f t="shared" si="0"/>
        <v>21</v>
      </c>
      <c r="D52" s="16" t="s">
        <v>48</v>
      </c>
      <c r="E52" s="16"/>
      <c r="F52" s="16"/>
      <c r="G52" s="16"/>
      <c r="H52" s="16"/>
      <c r="I52" s="16"/>
      <c r="J52" s="16"/>
      <c r="K52" s="16"/>
      <c r="L52" s="16"/>
      <c r="M52" s="16"/>
      <c r="N52" s="16"/>
      <c r="O52" s="16"/>
      <c r="P52" s="16"/>
      <c r="Q52" s="16"/>
      <c r="R52" s="16"/>
      <c r="S52" s="16"/>
      <c r="T52" s="16"/>
      <c r="U52" s="16"/>
      <c r="V52" s="36"/>
      <c r="W52" s="36"/>
      <c r="X52" s="36"/>
      <c r="Y52" s="36"/>
      <c r="Z52" s="36"/>
      <c r="AA52" s="36"/>
      <c r="AB52" s="36"/>
      <c r="AC52" s="36"/>
      <c r="AD52" s="36"/>
      <c r="AE52" s="36"/>
      <c r="AF52" s="36"/>
      <c r="AG52" s="36"/>
      <c r="AH52" s="36"/>
      <c r="AI52" s="36"/>
      <c r="AJ52" s="36"/>
      <c r="AK52" s="36"/>
      <c r="AL52" s="36"/>
    </row>
    <row r="53" spans="1:38" s="20" customFormat="1" ht="47.25" customHeight="1">
      <c r="A53" s="33"/>
      <c r="B53" s="27"/>
      <c r="C53" s="34">
        <f t="shared" si="0"/>
        <v>22</v>
      </c>
      <c r="D53" s="23" t="s">
        <v>49</v>
      </c>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20" customFormat="1" ht="30.75" customHeight="1">
      <c r="A54" s="33"/>
      <c r="B54" s="27"/>
      <c r="C54" s="34">
        <f t="shared" si="0"/>
        <v>23</v>
      </c>
      <c r="D54" s="16" t="s">
        <v>50</v>
      </c>
      <c r="E54" s="16"/>
      <c r="F54" s="16"/>
      <c r="G54" s="16"/>
      <c r="H54" s="16"/>
      <c r="I54" s="16"/>
      <c r="J54" s="16"/>
      <c r="K54" s="16"/>
      <c r="L54" s="16"/>
      <c r="M54" s="16"/>
      <c r="N54" s="16"/>
      <c r="O54" s="16"/>
      <c r="P54" s="16"/>
      <c r="Q54" s="16"/>
      <c r="R54" s="16"/>
      <c r="S54" s="16"/>
      <c r="T54" s="16"/>
      <c r="U54" s="16"/>
      <c r="V54" s="27"/>
    </row>
    <row r="55" spans="1:38" s="20" customFormat="1" ht="45" customHeight="1">
      <c r="A55" s="33"/>
      <c r="B55" s="27"/>
      <c r="C55" s="34">
        <f t="shared" si="0"/>
        <v>24</v>
      </c>
      <c r="D55" s="23" t="s">
        <v>51</v>
      </c>
      <c r="E55" s="23"/>
      <c r="F55" s="23"/>
      <c r="G55" s="23"/>
      <c r="H55" s="23"/>
      <c r="I55" s="23"/>
      <c r="J55" s="23"/>
      <c r="K55" s="23"/>
      <c r="L55" s="23"/>
      <c r="M55" s="23"/>
      <c r="N55" s="23"/>
      <c r="O55" s="23"/>
      <c r="P55" s="23"/>
      <c r="Q55" s="23"/>
      <c r="R55" s="23"/>
      <c r="S55" s="23"/>
      <c r="T55" s="23"/>
      <c r="U55" s="23"/>
      <c r="V55" s="27"/>
    </row>
    <row r="56" spans="1:38" s="20" customFormat="1" ht="14.25" customHeight="1">
      <c r="A56" s="33"/>
      <c r="B56" s="27"/>
      <c r="C56" s="28"/>
      <c r="D56" s="28"/>
      <c r="E56" s="28"/>
      <c r="F56" s="28"/>
      <c r="G56" s="28"/>
      <c r="H56" s="28"/>
      <c r="I56" s="28"/>
      <c r="J56" s="28"/>
      <c r="K56" s="28"/>
      <c r="L56" s="28"/>
      <c r="M56" s="28"/>
      <c r="N56" s="28"/>
      <c r="O56" s="28"/>
      <c r="P56" s="28"/>
      <c r="Q56" s="28"/>
      <c r="R56" s="28"/>
      <c r="S56" s="28"/>
      <c r="T56" s="28"/>
      <c r="U56" s="37"/>
      <c r="V56" s="27"/>
    </row>
    <row r="57" spans="1:38" s="20" customFormat="1" ht="18.75" customHeight="1">
      <c r="A57" s="30"/>
      <c r="B57" s="38" t="s">
        <v>52</v>
      </c>
      <c r="C57" s="13" t="s">
        <v>53</v>
      </c>
      <c r="D57" s="16"/>
      <c r="E57" s="16"/>
      <c r="F57" s="16"/>
      <c r="G57" s="16"/>
      <c r="H57" s="16"/>
      <c r="I57" s="16"/>
      <c r="J57" s="16"/>
      <c r="K57" s="16"/>
      <c r="L57" s="16"/>
      <c r="M57" s="16"/>
      <c r="N57" s="16"/>
      <c r="O57" s="16"/>
      <c r="P57" s="16"/>
      <c r="Q57" s="16"/>
      <c r="R57" s="16"/>
      <c r="S57" s="16"/>
      <c r="T57" s="16"/>
      <c r="U57" s="37"/>
      <c r="V57" s="27"/>
    </row>
    <row r="58" spans="1:38" s="20" customFormat="1" ht="93" customHeight="1">
      <c r="A58" s="30"/>
      <c r="B58" s="27"/>
      <c r="C58" s="16" t="str">
        <f>"Catatan Atas Laporan Keuangan "&amp;'[1]2.ISIAN DATA SKPD'!D2&amp;" Kabupaten Wonosobo Tahun  Anggaran "&amp;'[1]2.ISIAN DATA SKPD'!D11&amp;" disusun agar dapat digunakan oleh pengguna dalam memahami dan membandingkannya dengan laporan keuangan entitas lainnya, Catatan atas Laporan Keuangan sekurang – kurangnya disajikan dengan susunan sebagai berikut :"</f>
        <v>Catatan Atas Laporan Keuangan Dinas Pekerjaan Umum dan Penataan Ruang Kabupaten Wonosobo Tahun  Anggaran 2017 disusun agar dapat digunakan oleh pengguna dalam memahami dan membandingkannya dengan laporan keuangan entitas lainnya, Catatan atas Laporan Keuangan sekurang – kurangnya disajikan dengan susunan sebagai berikut :</v>
      </c>
      <c r="D58" s="16"/>
      <c r="E58" s="16"/>
      <c r="F58" s="16"/>
      <c r="G58" s="16"/>
      <c r="H58" s="16"/>
      <c r="I58" s="16"/>
      <c r="J58" s="16"/>
      <c r="K58" s="16"/>
      <c r="L58" s="16"/>
      <c r="M58" s="16"/>
      <c r="N58" s="16"/>
      <c r="O58" s="16"/>
      <c r="P58" s="16"/>
      <c r="Q58" s="16"/>
      <c r="R58" s="16"/>
      <c r="S58" s="16"/>
      <c r="T58" s="16"/>
      <c r="U58" s="16"/>
      <c r="V58" s="27"/>
    </row>
    <row r="59" spans="1:38" s="20" customFormat="1" ht="18.75" customHeight="1">
      <c r="A59" s="33"/>
      <c r="C59" s="13" t="s">
        <v>54</v>
      </c>
      <c r="D59" s="13"/>
      <c r="E59" s="13"/>
      <c r="F59" s="13"/>
      <c r="G59" s="13"/>
      <c r="H59" s="13"/>
      <c r="I59" s="13"/>
      <c r="J59" s="13"/>
      <c r="K59" s="13"/>
      <c r="L59" s="13"/>
      <c r="M59" s="13"/>
      <c r="N59" s="13"/>
      <c r="O59" s="13"/>
      <c r="P59" s="13"/>
      <c r="Q59" s="13"/>
      <c r="R59" s="13"/>
      <c r="S59" s="13"/>
      <c r="T59" s="13"/>
      <c r="U59" s="37"/>
      <c r="V59" s="27"/>
    </row>
    <row r="60" spans="1:38" s="20" customFormat="1" ht="16.5" customHeight="1">
      <c r="A60" s="33"/>
      <c r="C60" s="16" t="s">
        <v>55</v>
      </c>
      <c r="D60" s="16"/>
      <c r="E60" s="16"/>
      <c r="F60" s="16"/>
      <c r="G60" s="16"/>
      <c r="H60" s="16"/>
      <c r="I60" s="16"/>
      <c r="J60" s="16"/>
      <c r="K60" s="16"/>
      <c r="L60" s="16"/>
      <c r="M60" s="16"/>
      <c r="N60" s="16"/>
      <c r="O60" s="16"/>
      <c r="P60" s="16"/>
      <c r="Q60" s="16"/>
      <c r="R60" s="16"/>
      <c r="S60" s="16"/>
      <c r="T60" s="16"/>
      <c r="V60" s="27"/>
    </row>
    <row r="61" spans="1:38" s="20" customFormat="1" ht="16.5" customHeight="1">
      <c r="A61" s="33"/>
      <c r="C61" s="16" t="s">
        <v>56</v>
      </c>
      <c r="D61" s="16"/>
      <c r="E61" s="16"/>
      <c r="F61" s="16"/>
      <c r="G61" s="16"/>
      <c r="H61" s="16"/>
      <c r="I61" s="16"/>
      <c r="J61" s="16"/>
      <c r="K61" s="16"/>
      <c r="L61" s="16"/>
      <c r="M61" s="16"/>
      <c r="N61" s="16"/>
      <c r="O61" s="16"/>
      <c r="P61" s="16"/>
      <c r="Q61" s="16"/>
      <c r="R61" s="16"/>
      <c r="S61" s="16"/>
      <c r="T61" s="16"/>
      <c r="V61" s="27"/>
    </row>
    <row r="62" spans="1:38" s="20" customFormat="1" ht="21" customHeight="1">
      <c r="A62" s="33"/>
      <c r="C62" s="16" t="s">
        <v>57</v>
      </c>
      <c r="D62" s="16"/>
      <c r="E62" s="16"/>
      <c r="F62" s="16"/>
      <c r="G62" s="16"/>
      <c r="H62" s="16"/>
      <c r="I62" s="16"/>
      <c r="J62" s="16"/>
      <c r="K62" s="16"/>
      <c r="L62" s="16"/>
      <c r="M62" s="16"/>
      <c r="N62" s="16"/>
      <c r="O62" s="16"/>
      <c r="P62" s="16"/>
      <c r="Q62" s="16"/>
      <c r="R62" s="16"/>
      <c r="S62" s="16"/>
      <c r="T62" s="16"/>
      <c r="V62" s="27"/>
    </row>
    <row r="63" spans="1:38" s="20" customFormat="1" ht="16.5" customHeight="1">
      <c r="A63" s="33"/>
      <c r="C63" s="13" t="s">
        <v>58</v>
      </c>
      <c r="D63" s="13"/>
      <c r="E63" s="13"/>
      <c r="F63" s="13"/>
      <c r="G63" s="13"/>
      <c r="H63" s="13"/>
      <c r="I63" s="13"/>
      <c r="J63" s="13"/>
      <c r="K63" s="13"/>
      <c r="L63" s="13"/>
      <c r="M63" s="13"/>
      <c r="N63" s="13"/>
      <c r="O63" s="13"/>
      <c r="P63" s="13"/>
      <c r="Q63" s="13"/>
      <c r="R63" s="13"/>
      <c r="S63" s="13"/>
      <c r="T63" s="13"/>
      <c r="U63" s="37"/>
      <c r="V63" s="27"/>
    </row>
    <row r="64" spans="1:38" s="20" customFormat="1" ht="16.5" customHeight="1">
      <c r="A64" s="33"/>
      <c r="C64" s="29" t="s">
        <v>59</v>
      </c>
      <c r="D64" s="39" t="s">
        <v>60</v>
      </c>
      <c r="E64" s="39"/>
      <c r="F64" s="39"/>
      <c r="G64" s="39"/>
      <c r="H64" s="39"/>
      <c r="I64" s="39"/>
      <c r="J64" s="39"/>
      <c r="K64" s="39"/>
      <c r="L64" s="39"/>
      <c r="M64" s="39"/>
      <c r="N64" s="39"/>
      <c r="O64" s="39"/>
      <c r="P64" s="39"/>
      <c r="Q64" s="39"/>
      <c r="R64" s="39"/>
      <c r="S64" s="39"/>
      <c r="T64" s="39"/>
      <c r="V64" s="27"/>
    </row>
    <row r="65" spans="1:22" s="20" customFormat="1" ht="31.5" customHeight="1">
      <c r="A65" s="33"/>
      <c r="C65" s="40" t="s">
        <v>61</v>
      </c>
      <c r="D65" s="39" t="s">
        <v>62</v>
      </c>
      <c r="E65" s="39"/>
      <c r="F65" s="39"/>
      <c r="G65" s="39"/>
      <c r="H65" s="39"/>
      <c r="I65" s="39"/>
      <c r="J65" s="39"/>
      <c r="K65" s="39"/>
      <c r="L65" s="39"/>
      <c r="M65" s="39"/>
      <c r="N65" s="39"/>
      <c r="O65" s="39"/>
      <c r="P65" s="39"/>
      <c r="Q65" s="39"/>
      <c r="R65" s="39"/>
      <c r="S65" s="39"/>
      <c r="T65" s="39"/>
      <c r="V65" s="27"/>
    </row>
    <row r="66" spans="1:22" s="20" customFormat="1" ht="16.5" customHeight="1">
      <c r="A66" s="33"/>
      <c r="C66" s="13" t="s">
        <v>63</v>
      </c>
      <c r="D66" s="13"/>
      <c r="E66" s="13"/>
      <c r="F66" s="13"/>
      <c r="G66" s="13"/>
      <c r="H66" s="13"/>
      <c r="I66" s="13"/>
      <c r="J66" s="13"/>
      <c r="K66" s="13"/>
      <c r="L66" s="13"/>
      <c r="M66" s="13"/>
      <c r="N66" s="13"/>
      <c r="O66" s="13"/>
      <c r="P66" s="13"/>
      <c r="Q66" s="13"/>
      <c r="R66" s="13"/>
      <c r="S66" s="13"/>
      <c r="T66" s="13"/>
      <c r="U66" s="2"/>
      <c r="V66" s="27"/>
    </row>
    <row r="67" spans="1:22" s="20" customFormat="1" ht="16.5" customHeight="1">
      <c r="A67" s="33"/>
      <c r="C67" s="13" t="s">
        <v>64</v>
      </c>
      <c r="D67" s="13"/>
      <c r="E67" s="13"/>
      <c r="F67" s="13"/>
      <c r="G67" s="13"/>
      <c r="H67" s="13"/>
      <c r="I67" s="13"/>
      <c r="J67" s="13"/>
      <c r="K67" s="13"/>
      <c r="L67" s="13"/>
      <c r="M67" s="13"/>
      <c r="N67" s="13"/>
      <c r="O67" s="13"/>
      <c r="P67" s="13"/>
      <c r="Q67" s="13"/>
      <c r="R67" s="13"/>
      <c r="S67" s="13"/>
      <c r="T67" s="13"/>
      <c r="V67" s="27"/>
    </row>
    <row r="68" spans="1:22" s="20" customFormat="1" ht="16.5" customHeight="1">
      <c r="A68" s="33"/>
      <c r="D68" s="16" t="s">
        <v>65</v>
      </c>
      <c r="E68" s="16"/>
      <c r="F68" s="16"/>
      <c r="G68" s="16"/>
      <c r="H68" s="16"/>
      <c r="I68" s="16"/>
      <c r="J68" s="16"/>
      <c r="K68" s="16"/>
      <c r="L68" s="16"/>
      <c r="M68" s="16"/>
      <c r="N68" s="16"/>
      <c r="O68" s="16"/>
      <c r="P68" s="16"/>
      <c r="Q68" s="16"/>
      <c r="R68" s="16"/>
      <c r="S68" s="16"/>
      <c r="T68" s="16"/>
      <c r="U68" s="16"/>
      <c r="V68" s="27"/>
    </row>
    <row r="69" spans="1:22" s="20" customFormat="1" ht="16.5" customHeight="1">
      <c r="A69" s="33"/>
      <c r="D69" s="16" t="s">
        <v>66</v>
      </c>
      <c r="E69" s="16"/>
      <c r="F69" s="16"/>
      <c r="G69" s="16"/>
      <c r="H69" s="16"/>
      <c r="I69" s="16"/>
      <c r="J69" s="16"/>
      <c r="K69" s="16"/>
      <c r="L69" s="16"/>
      <c r="M69" s="16"/>
      <c r="N69" s="16"/>
      <c r="O69" s="16"/>
      <c r="P69" s="16"/>
      <c r="Q69" s="16"/>
      <c r="R69" s="16"/>
      <c r="S69" s="16"/>
      <c r="T69" s="16"/>
      <c r="U69" s="16"/>
      <c r="V69" s="27"/>
    </row>
    <row r="70" spans="1:22" s="20" customFormat="1" ht="16.5" customHeight="1">
      <c r="A70" s="33"/>
      <c r="C70" s="13" t="s">
        <v>67</v>
      </c>
      <c r="D70" s="13"/>
      <c r="E70" s="13"/>
      <c r="F70" s="13"/>
      <c r="G70" s="13"/>
      <c r="H70" s="13"/>
      <c r="I70" s="13"/>
      <c r="J70" s="13"/>
      <c r="K70" s="13"/>
      <c r="L70" s="13"/>
      <c r="M70" s="13"/>
      <c r="N70" s="13"/>
      <c r="O70" s="13"/>
      <c r="P70" s="13"/>
      <c r="Q70" s="13"/>
      <c r="R70" s="13"/>
      <c r="S70" s="13"/>
      <c r="T70" s="13"/>
      <c r="V70" s="27"/>
    </row>
    <row r="71" spans="1:22" s="20" customFormat="1" ht="16.5" customHeight="1">
      <c r="A71" s="33"/>
      <c r="C71" s="2"/>
      <c r="D71" s="16" t="s">
        <v>68</v>
      </c>
      <c r="E71" s="16"/>
      <c r="F71" s="16"/>
      <c r="G71" s="16"/>
      <c r="H71" s="16"/>
      <c r="I71" s="16"/>
      <c r="J71" s="16"/>
      <c r="K71" s="16"/>
      <c r="L71" s="16"/>
      <c r="M71" s="16"/>
      <c r="N71" s="16"/>
      <c r="O71" s="16"/>
      <c r="P71" s="16"/>
      <c r="Q71" s="16"/>
      <c r="R71" s="16"/>
      <c r="S71" s="16"/>
      <c r="T71" s="16"/>
      <c r="U71" s="16"/>
      <c r="V71" s="27"/>
    </row>
    <row r="72" spans="1:22" s="20" customFormat="1" ht="16.5" customHeight="1">
      <c r="A72" s="33"/>
      <c r="C72" s="2"/>
      <c r="D72" s="16" t="s">
        <v>69</v>
      </c>
      <c r="E72" s="16"/>
      <c r="F72" s="16"/>
      <c r="G72" s="16"/>
      <c r="H72" s="16"/>
      <c r="I72" s="16"/>
      <c r="J72" s="16"/>
      <c r="K72" s="16"/>
      <c r="L72" s="16"/>
      <c r="M72" s="16"/>
      <c r="N72" s="16"/>
      <c r="O72" s="16"/>
      <c r="P72" s="16"/>
      <c r="Q72" s="16"/>
      <c r="R72" s="16"/>
      <c r="S72" s="16"/>
      <c r="T72" s="16"/>
      <c r="U72" s="16"/>
      <c r="V72" s="27"/>
    </row>
    <row r="73" spans="1:22" s="20" customFormat="1" ht="16.5" customHeight="1">
      <c r="A73" s="33"/>
      <c r="C73" s="2"/>
      <c r="D73" s="16" t="s">
        <v>70</v>
      </c>
      <c r="E73" s="16"/>
      <c r="F73" s="16"/>
      <c r="G73" s="16"/>
      <c r="H73" s="16"/>
      <c r="I73" s="16"/>
      <c r="J73" s="16"/>
      <c r="K73" s="16"/>
      <c r="L73" s="16"/>
      <c r="M73" s="16"/>
      <c r="N73" s="16"/>
      <c r="O73" s="16"/>
      <c r="P73" s="16"/>
      <c r="Q73" s="16"/>
      <c r="R73" s="16"/>
      <c r="S73" s="16"/>
      <c r="T73" s="16"/>
      <c r="U73" s="16"/>
      <c r="V73" s="27"/>
    </row>
    <row r="74" spans="1:22" s="20" customFormat="1" ht="16.5" customHeight="1">
      <c r="A74" s="33"/>
      <c r="C74" s="13" t="s">
        <v>71</v>
      </c>
      <c r="D74" s="13"/>
      <c r="E74" s="13"/>
      <c r="F74" s="13"/>
      <c r="G74" s="13"/>
      <c r="H74" s="13"/>
      <c r="I74" s="13"/>
      <c r="J74" s="13"/>
      <c r="K74" s="13"/>
      <c r="L74" s="13"/>
      <c r="M74" s="13"/>
      <c r="N74" s="13"/>
      <c r="O74" s="13"/>
      <c r="P74" s="13"/>
      <c r="Q74" s="13"/>
      <c r="R74" s="13"/>
      <c r="S74" s="13"/>
      <c r="T74" s="13"/>
      <c r="V74" s="27"/>
    </row>
    <row r="75" spans="1:22" s="20" customFormat="1" ht="16.5" customHeight="1">
      <c r="A75" s="33"/>
      <c r="C75" s="2"/>
      <c r="D75" s="16" t="s">
        <v>72</v>
      </c>
      <c r="E75" s="16"/>
      <c r="F75" s="16"/>
      <c r="G75" s="16"/>
      <c r="H75" s="16"/>
      <c r="I75" s="16"/>
      <c r="J75" s="16"/>
      <c r="K75" s="16"/>
      <c r="L75" s="16"/>
      <c r="M75" s="16"/>
      <c r="N75" s="16"/>
      <c r="O75" s="16"/>
      <c r="P75" s="16"/>
      <c r="Q75" s="16"/>
      <c r="R75" s="16"/>
      <c r="S75" s="16"/>
      <c r="T75" s="16"/>
      <c r="U75" s="16"/>
      <c r="V75" s="27"/>
    </row>
    <row r="76" spans="1:22" s="20" customFormat="1" ht="16.5" customHeight="1">
      <c r="A76" s="33"/>
      <c r="C76" s="2"/>
      <c r="D76" s="16" t="s">
        <v>73</v>
      </c>
      <c r="E76" s="16"/>
      <c r="F76" s="16"/>
      <c r="G76" s="16"/>
      <c r="H76" s="16"/>
      <c r="I76" s="16"/>
      <c r="J76" s="16"/>
      <c r="K76" s="16"/>
      <c r="L76" s="16"/>
      <c r="M76" s="16"/>
      <c r="N76" s="16"/>
      <c r="O76" s="16"/>
      <c r="P76" s="16"/>
      <c r="Q76" s="16"/>
      <c r="R76" s="16"/>
      <c r="S76" s="16"/>
      <c r="T76" s="16"/>
      <c r="U76" s="16"/>
      <c r="V76" s="27"/>
    </row>
    <row r="77" spans="1:22" s="20" customFormat="1" ht="16.5" customHeight="1">
      <c r="A77" s="33"/>
      <c r="C77" s="2"/>
      <c r="D77" s="16" t="s">
        <v>74</v>
      </c>
      <c r="E77" s="16"/>
      <c r="F77" s="16"/>
      <c r="G77" s="16"/>
      <c r="H77" s="16"/>
      <c r="I77" s="16"/>
      <c r="J77" s="16"/>
      <c r="K77" s="16"/>
      <c r="L77" s="16"/>
      <c r="M77" s="16"/>
      <c r="N77" s="16"/>
      <c r="O77" s="16"/>
      <c r="P77" s="16"/>
      <c r="Q77" s="16"/>
      <c r="R77" s="16"/>
      <c r="S77" s="16"/>
      <c r="T77" s="16"/>
      <c r="U77" s="16"/>
      <c r="V77" s="27"/>
    </row>
    <row r="78" spans="1:22" s="20" customFormat="1" ht="16.5" customHeight="1">
      <c r="A78" s="33"/>
      <c r="C78" s="13" t="s">
        <v>75</v>
      </c>
      <c r="D78" s="13"/>
      <c r="E78" s="13"/>
      <c r="F78" s="13"/>
      <c r="G78" s="13"/>
      <c r="H78" s="13"/>
      <c r="I78" s="13"/>
      <c r="J78" s="13"/>
      <c r="K78" s="13"/>
      <c r="L78" s="13"/>
      <c r="M78" s="13"/>
      <c r="N78" s="13"/>
      <c r="O78" s="13"/>
      <c r="P78" s="13"/>
      <c r="Q78" s="13"/>
      <c r="R78" s="13"/>
      <c r="S78" s="13"/>
      <c r="T78" s="13"/>
      <c r="V78" s="27"/>
    </row>
    <row r="79" spans="1:22" s="20" customFormat="1" ht="16.5" customHeight="1">
      <c r="A79" s="33"/>
      <c r="C79" s="41"/>
      <c r="D79" s="16" t="s">
        <v>76</v>
      </c>
      <c r="E79" s="16"/>
      <c r="F79" s="16"/>
      <c r="G79" s="16"/>
      <c r="H79" s="16"/>
      <c r="I79" s="16"/>
      <c r="J79" s="16"/>
      <c r="K79" s="16"/>
      <c r="L79" s="16"/>
      <c r="M79" s="16"/>
      <c r="N79" s="16"/>
      <c r="O79" s="16"/>
      <c r="P79" s="16"/>
      <c r="Q79" s="16"/>
      <c r="R79" s="16"/>
      <c r="S79" s="16"/>
      <c r="T79" s="16"/>
      <c r="U79" s="16"/>
      <c r="V79" s="27"/>
    </row>
    <row r="80" spans="1:22" s="20" customFormat="1" ht="16.5" customHeight="1">
      <c r="A80" s="42"/>
      <c r="C80" s="13" t="s">
        <v>77</v>
      </c>
      <c r="D80" s="13"/>
      <c r="E80" s="13"/>
      <c r="F80" s="13"/>
      <c r="G80" s="13"/>
      <c r="H80" s="13"/>
      <c r="I80" s="13"/>
      <c r="J80" s="13"/>
      <c r="K80" s="13"/>
      <c r="L80" s="13"/>
      <c r="M80" s="13"/>
      <c r="N80" s="13"/>
      <c r="O80" s="13"/>
      <c r="P80" s="13"/>
      <c r="Q80" s="13"/>
      <c r="R80" s="13"/>
      <c r="S80" s="13"/>
      <c r="T80" s="13"/>
      <c r="U80" s="2"/>
      <c r="V80" s="27"/>
    </row>
    <row r="81" spans="1:22" s="20" customFormat="1" ht="16.5" customHeight="1">
      <c r="A81" s="42"/>
      <c r="C81" s="13" t="s">
        <v>78</v>
      </c>
      <c r="D81" s="13"/>
      <c r="E81" s="13"/>
      <c r="F81" s="13"/>
      <c r="G81" s="13"/>
      <c r="H81" s="13"/>
      <c r="I81" s="13"/>
      <c r="J81" s="13"/>
      <c r="K81" s="13"/>
      <c r="L81" s="13"/>
      <c r="M81" s="13"/>
      <c r="N81" s="13"/>
      <c r="O81" s="13"/>
      <c r="P81" s="13"/>
      <c r="Q81" s="13"/>
      <c r="R81" s="13"/>
      <c r="S81" s="13"/>
      <c r="T81" s="13"/>
      <c r="U81" s="29"/>
      <c r="V81" s="27"/>
    </row>
    <row r="82" spans="1:22" s="20" customFormat="1" ht="16.5" customHeight="1">
      <c r="A82" s="42"/>
      <c r="E82" s="16"/>
      <c r="F82" s="16"/>
      <c r="G82" s="16"/>
      <c r="H82" s="16"/>
      <c r="I82" s="16"/>
      <c r="J82" s="16"/>
      <c r="K82" s="16"/>
      <c r="L82" s="16"/>
      <c r="M82" s="16"/>
      <c r="N82" s="16"/>
      <c r="O82" s="16"/>
      <c r="P82" s="16"/>
      <c r="Q82" s="16"/>
      <c r="R82" s="16"/>
      <c r="S82" s="16"/>
      <c r="T82" s="16"/>
      <c r="U82" s="16"/>
      <c r="V82" s="27"/>
    </row>
    <row r="83" spans="1:22" s="20" customFormat="1" ht="16.5" customHeight="1">
      <c r="A83" s="42"/>
      <c r="E83" s="16"/>
      <c r="F83" s="16"/>
      <c r="G83" s="16"/>
      <c r="H83" s="16"/>
      <c r="I83" s="16"/>
      <c r="J83" s="16"/>
      <c r="K83" s="16"/>
      <c r="L83" s="16"/>
      <c r="M83" s="16"/>
      <c r="N83" s="16"/>
      <c r="O83" s="16"/>
      <c r="P83" s="16"/>
      <c r="Q83" s="16"/>
      <c r="R83" s="16"/>
      <c r="S83" s="16"/>
      <c r="T83" s="16"/>
      <c r="U83" s="16"/>
      <c r="V83" s="27"/>
    </row>
    <row r="84" spans="1:22" s="20" customFormat="1" ht="16.5" customHeight="1">
      <c r="A84" s="42"/>
      <c r="D84" s="16"/>
      <c r="E84" s="16"/>
      <c r="F84" s="16"/>
      <c r="G84" s="16"/>
      <c r="H84" s="16"/>
      <c r="I84" s="16"/>
      <c r="J84" s="16"/>
      <c r="K84" s="16"/>
      <c r="L84" s="16"/>
      <c r="M84" s="16"/>
      <c r="N84" s="16"/>
      <c r="O84" s="16"/>
      <c r="P84" s="16"/>
      <c r="Q84" s="16"/>
      <c r="R84" s="16"/>
      <c r="S84" s="16"/>
      <c r="T84" s="16"/>
      <c r="U84" s="16"/>
      <c r="V84" s="27"/>
    </row>
    <row r="85" spans="1:22" s="20" customFormat="1" ht="16.5" customHeight="1">
      <c r="A85" s="42"/>
      <c r="D85" s="2"/>
      <c r="E85" s="16"/>
      <c r="F85" s="16"/>
      <c r="G85" s="16"/>
      <c r="H85" s="16"/>
      <c r="I85" s="16"/>
      <c r="J85" s="16"/>
      <c r="K85" s="16"/>
      <c r="L85" s="16"/>
      <c r="M85" s="16"/>
      <c r="N85" s="16"/>
      <c r="O85" s="16"/>
      <c r="P85" s="16"/>
      <c r="Q85" s="16"/>
      <c r="R85" s="16"/>
      <c r="S85" s="16"/>
      <c r="T85" s="16"/>
      <c r="U85" s="16"/>
      <c r="V85" s="27"/>
    </row>
    <row r="86" spans="1:22" s="20" customFormat="1" ht="16.5" customHeight="1">
      <c r="A86" s="42"/>
      <c r="D86" s="2"/>
      <c r="E86" s="16"/>
      <c r="F86" s="16"/>
      <c r="G86" s="16"/>
      <c r="H86" s="16"/>
      <c r="I86" s="16"/>
      <c r="J86" s="16"/>
      <c r="K86" s="16"/>
      <c r="L86" s="16"/>
      <c r="M86" s="16"/>
      <c r="N86" s="16"/>
      <c r="O86" s="16"/>
      <c r="P86" s="16"/>
      <c r="Q86" s="16"/>
      <c r="R86" s="16"/>
      <c r="S86" s="16"/>
      <c r="T86" s="16"/>
      <c r="U86" s="16"/>
      <c r="V86" s="27"/>
    </row>
    <row r="87" spans="1:22" s="20" customFormat="1" ht="16.5" customHeight="1">
      <c r="A87" s="42"/>
      <c r="D87" s="2"/>
      <c r="E87" s="16"/>
      <c r="F87" s="16"/>
      <c r="G87" s="16"/>
      <c r="H87" s="16"/>
      <c r="I87" s="16"/>
      <c r="J87" s="16"/>
      <c r="K87" s="16"/>
      <c r="L87" s="16"/>
      <c r="M87" s="16"/>
      <c r="N87" s="16"/>
      <c r="O87" s="16"/>
      <c r="P87" s="16"/>
      <c r="Q87" s="16"/>
      <c r="R87" s="16"/>
      <c r="S87" s="16"/>
      <c r="T87" s="16"/>
      <c r="U87" s="16"/>
      <c r="V87" s="27"/>
    </row>
    <row r="88" spans="1:22" s="20" customFormat="1" ht="16.5" customHeight="1">
      <c r="A88" s="42"/>
      <c r="D88" s="16"/>
      <c r="E88" s="16"/>
      <c r="F88" s="16"/>
      <c r="G88" s="16"/>
      <c r="H88" s="16"/>
      <c r="I88" s="16"/>
      <c r="J88" s="16"/>
      <c r="K88" s="16"/>
      <c r="L88" s="16"/>
      <c r="M88" s="16"/>
      <c r="N88" s="16"/>
      <c r="O88" s="16"/>
      <c r="P88" s="16"/>
      <c r="Q88" s="16"/>
      <c r="R88" s="16"/>
      <c r="S88" s="16"/>
      <c r="T88" s="16"/>
      <c r="U88" s="16"/>
      <c r="V88" s="27"/>
    </row>
    <row r="89" spans="1:22" s="20" customFormat="1" ht="16.5" customHeight="1">
      <c r="A89" s="42"/>
      <c r="D89" s="2"/>
      <c r="E89" s="16"/>
      <c r="F89" s="16"/>
      <c r="G89" s="16"/>
      <c r="H89" s="16"/>
      <c r="I89" s="16"/>
      <c r="J89" s="16"/>
      <c r="K89" s="16"/>
      <c r="L89" s="16"/>
      <c r="M89" s="16"/>
      <c r="N89" s="16"/>
      <c r="O89" s="16"/>
      <c r="P89" s="16"/>
      <c r="Q89" s="16"/>
      <c r="R89" s="16"/>
      <c r="S89" s="16"/>
      <c r="T89" s="16"/>
      <c r="U89" s="16"/>
      <c r="V89" s="27"/>
    </row>
    <row r="90" spans="1:22" s="20" customFormat="1" ht="16.5" customHeight="1">
      <c r="A90" s="42"/>
      <c r="D90" s="2"/>
      <c r="E90" s="16"/>
      <c r="F90" s="16"/>
      <c r="G90" s="16"/>
      <c r="H90" s="16"/>
      <c r="I90" s="16"/>
      <c r="J90" s="16"/>
      <c r="K90" s="16"/>
      <c r="L90" s="16"/>
      <c r="M90" s="16"/>
      <c r="N90" s="16"/>
      <c r="O90" s="16"/>
      <c r="P90" s="16"/>
      <c r="Q90" s="16"/>
      <c r="R90" s="16"/>
      <c r="S90" s="16"/>
      <c r="T90" s="16"/>
      <c r="U90" s="16"/>
      <c r="V90" s="27"/>
    </row>
    <row r="91" spans="1:22" s="20" customFormat="1" ht="16.5" customHeight="1">
      <c r="A91" s="42"/>
      <c r="D91" s="2"/>
      <c r="E91" s="16"/>
      <c r="F91" s="16"/>
      <c r="G91" s="16"/>
      <c r="H91" s="16"/>
      <c r="I91" s="16"/>
      <c r="J91" s="16"/>
      <c r="K91" s="16"/>
      <c r="L91" s="16"/>
      <c r="M91" s="16"/>
      <c r="N91" s="16"/>
      <c r="O91" s="16"/>
      <c r="P91" s="16"/>
      <c r="Q91" s="16"/>
      <c r="R91" s="16"/>
      <c r="S91" s="16"/>
      <c r="T91" s="16"/>
      <c r="U91" s="16"/>
      <c r="V91" s="27"/>
    </row>
    <row r="92" spans="1:22" s="20" customFormat="1" ht="16.5" customHeight="1">
      <c r="A92" s="42"/>
      <c r="D92" s="16"/>
      <c r="E92" s="16"/>
      <c r="F92" s="16"/>
      <c r="G92" s="16"/>
      <c r="H92" s="16"/>
      <c r="I92" s="16"/>
      <c r="J92" s="16"/>
      <c r="K92" s="16"/>
      <c r="L92" s="16"/>
      <c r="M92" s="16"/>
      <c r="N92" s="16"/>
      <c r="O92" s="16"/>
      <c r="P92" s="16"/>
      <c r="Q92" s="16"/>
      <c r="R92" s="16"/>
      <c r="S92" s="16"/>
      <c r="T92" s="16"/>
      <c r="U92" s="16"/>
      <c r="V92" s="27"/>
    </row>
    <row r="93" spans="1:22" s="20" customFormat="1" ht="16.5" customHeight="1">
      <c r="A93" s="42"/>
      <c r="D93" s="28"/>
      <c r="E93" s="28"/>
      <c r="F93" s="28"/>
      <c r="G93" s="28"/>
      <c r="H93" s="28"/>
      <c r="I93" s="28"/>
      <c r="J93" s="28"/>
      <c r="K93" s="28"/>
      <c r="L93" s="28"/>
      <c r="M93" s="28"/>
      <c r="N93" s="28"/>
      <c r="O93" s="28"/>
      <c r="P93" s="28"/>
      <c r="Q93" s="28"/>
      <c r="R93" s="28"/>
      <c r="S93" s="28"/>
      <c r="T93" s="28"/>
      <c r="U93" s="28"/>
      <c r="V93" s="27"/>
    </row>
    <row r="94" spans="1:22" s="20" customFormat="1" ht="16.5" customHeight="1">
      <c r="A94" s="42"/>
      <c r="D94" s="28"/>
      <c r="E94" s="28"/>
      <c r="F94" s="28"/>
      <c r="G94" s="28"/>
      <c r="H94" s="28"/>
      <c r="I94" s="28"/>
      <c r="J94" s="28"/>
      <c r="K94" s="28"/>
      <c r="L94" s="28"/>
      <c r="M94" s="28"/>
      <c r="N94" s="28"/>
      <c r="O94" s="28"/>
      <c r="P94" s="28"/>
      <c r="Q94" s="28"/>
      <c r="R94" s="28"/>
      <c r="S94" s="28"/>
      <c r="T94" s="28"/>
      <c r="U94" s="28"/>
      <c r="V94" s="27"/>
    </row>
    <row r="95" spans="1:22" s="20" customFormat="1" ht="16.5" customHeight="1">
      <c r="A95" s="42"/>
      <c r="D95" s="28"/>
      <c r="E95" s="28"/>
      <c r="F95" s="28"/>
      <c r="G95" s="28"/>
      <c r="H95" s="28"/>
      <c r="I95" s="28"/>
      <c r="J95" s="28"/>
      <c r="K95" s="28"/>
      <c r="L95" s="28"/>
      <c r="M95" s="28"/>
      <c r="N95" s="28"/>
      <c r="O95" s="28"/>
      <c r="P95" s="28"/>
      <c r="Q95" s="28"/>
      <c r="R95" s="28"/>
      <c r="S95" s="28"/>
      <c r="T95" s="28"/>
      <c r="U95" s="28"/>
      <c r="V95" s="27"/>
    </row>
    <row r="96" spans="1:22" s="20" customFormat="1" ht="16.5" customHeight="1">
      <c r="A96" s="42"/>
      <c r="D96" s="28"/>
      <c r="E96" s="28"/>
      <c r="F96" s="28"/>
      <c r="G96" s="28"/>
      <c r="H96" s="28"/>
      <c r="I96" s="28"/>
      <c r="J96" s="28"/>
      <c r="K96" s="28"/>
      <c r="L96" s="28"/>
      <c r="M96" s="28"/>
      <c r="N96" s="28"/>
      <c r="O96" s="28"/>
      <c r="P96" s="28"/>
      <c r="Q96" s="28"/>
      <c r="R96" s="28"/>
      <c r="S96" s="28"/>
      <c r="T96" s="28"/>
      <c r="U96" s="28"/>
      <c r="V96" s="27"/>
    </row>
    <row r="97" spans="1:22" s="20" customFormat="1" ht="16.5" customHeight="1">
      <c r="A97" s="42"/>
      <c r="D97" s="28"/>
      <c r="E97" s="28"/>
      <c r="F97" s="28"/>
      <c r="G97" s="28"/>
      <c r="H97" s="28"/>
      <c r="I97" s="28"/>
      <c r="J97" s="28"/>
      <c r="K97" s="28"/>
      <c r="L97" s="28"/>
      <c r="M97" s="28"/>
      <c r="N97" s="28"/>
      <c r="O97" s="28"/>
      <c r="P97" s="28"/>
      <c r="Q97" s="28"/>
      <c r="R97" s="28"/>
      <c r="S97" s="28"/>
      <c r="T97" s="28"/>
      <c r="U97" s="28"/>
      <c r="V97" s="27"/>
    </row>
    <row r="98" spans="1:22" s="20" customFormat="1" ht="16.5" customHeight="1">
      <c r="A98" s="42"/>
      <c r="D98" s="28"/>
      <c r="E98" s="28"/>
      <c r="F98" s="28"/>
      <c r="G98" s="28"/>
      <c r="H98" s="28"/>
      <c r="I98" s="28"/>
      <c r="J98" s="28"/>
      <c r="K98" s="28"/>
      <c r="L98" s="28"/>
      <c r="M98" s="28"/>
      <c r="N98" s="28"/>
      <c r="O98" s="28"/>
      <c r="P98" s="28"/>
      <c r="Q98" s="28"/>
      <c r="R98" s="28"/>
      <c r="S98" s="28"/>
      <c r="T98" s="28"/>
      <c r="U98" s="28"/>
      <c r="V98" s="27"/>
    </row>
    <row r="99" spans="1:22" s="20" customFormat="1" ht="16.5" customHeight="1">
      <c r="A99" s="42"/>
      <c r="D99" s="28"/>
      <c r="E99" s="28"/>
      <c r="F99" s="28"/>
      <c r="G99" s="28"/>
      <c r="H99" s="28"/>
      <c r="I99" s="28"/>
      <c r="J99" s="28"/>
      <c r="K99" s="28"/>
      <c r="L99" s="28"/>
      <c r="M99" s="28"/>
      <c r="N99" s="28"/>
      <c r="O99" s="28"/>
      <c r="P99" s="28"/>
      <c r="Q99" s="28"/>
      <c r="R99" s="28"/>
      <c r="S99" s="28"/>
      <c r="T99" s="28"/>
      <c r="U99" s="28"/>
      <c r="V99" s="27"/>
    </row>
    <row r="100" spans="1:22" s="20" customFormat="1" ht="16.5" customHeight="1">
      <c r="A100" s="42"/>
      <c r="D100" s="28"/>
      <c r="E100" s="28"/>
      <c r="F100" s="28"/>
      <c r="G100" s="28"/>
      <c r="H100" s="28"/>
      <c r="I100" s="28"/>
      <c r="J100" s="28"/>
      <c r="K100" s="28"/>
      <c r="L100" s="28"/>
      <c r="M100" s="28"/>
      <c r="N100" s="28"/>
      <c r="O100" s="28"/>
      <c r="P100" s="28"/>
      <c r="Q100" s="28"/>
      <c r="R100" s="28"/>
      <c r="S100" s="28"/>
      <c r="T100" s="28"/>
      <c r="U100" s="28"/>
      <c r="V100" s="27"/>
    </row>
    <row r="101" spans="1:22" s="20" customFormat="1" ht="16.5" customHeight="1">
      <c r="A101" s="42"/>
      <c r="D101" s="28"/>
      <c r="E101" s="28"/>
      <c r="F101" s="28"/>
      <c r="G101" s="28"/>
      <c r="H101" s="28"/>
      <c r="I101" s="28"/>
      <c r="J101" s="28"/>
      <c r="K101" s="28"/>
      <c r="L101" s="28"/>
      <c r="M101" s="28"/>
      <c r="N101" s="28"/>
      <c r="O101" s="28"/>
      <c r="P101" s="28"/>
      <c r="Q101" s="28"/>
      <c r="R101" s="28"/>
      <c r="S101" s="28"/>
      <c r="T101" s="28"/>
      <c r="U101" s="28"/>
      <c r="V101" s="27"/>
    </row>
    <row r="102" spans="1:22" s="20" customFormat="1" ht="16.5" customHeight="1">
      <c r="A102" s="42"/>
      <c r="D102" s="28"/>
      <c r="E102" s="28"/>
      <c r="F102" s="28"/>
      <c r="G102" s="28"/>
      <c r="H102" s="28"/>
      <c r="I102" s="28"/>
      <c r="J102" s="28"/>
      <c r="K102" s="28"/>
      <c r="L102" s="28"/>
      <c r="M102" s="28"/>
      <c r="N102" s="28"/>
      <c r="O102" s="28"/>
      <c r="P102" s="28"/>
      <c r="Q102" s="28"/>
      <c r="R102" s="28"/>
      <c r="S102" s="28"/>
      <c r="T102" s="28"/>
      <c r="U102" s="28"/>
      <c r="V102" s="27"/>
    </row>
    <row r="103" spans="1:22" s="20" customFormat="1" ht="16.5" customHeight="1">
      <c r="A103" s="42"/>
      <c r="D103" s="28"/>
      <c r="E103" s="28"/>
      <c r="F103" s="28"/>
      <c r="G103" s="28"/>
      <c r="H103" s="28"/>
      <c r="I103" s="28"/>
      <c r="J103" s="28"/>
      <c r="K103" s="28"/>
      <c r="L103" s="28"/>
      <c r="M103" s="28"/>
      <c r="N103" s="28"/>
      <c r="O103" s="28"/>
      <c r="P103" s="28"/>
      <c r="Q103" s="28"/>
      <c r="R103" s="28"/>
      <c r="S103" s="28"/>
      <c r="T103" s="28"/>
      <c r="U103" s="28"/>
      <c r="V103" s="27"/>
    </row>
    <row r="104" spans="1:22" s="20" customFormat="1" ht="16.5" customHeight="1">
      <c r="A104" s="42"/>
      <c r="D104" s="28"/>
      <c r="E104" s="28"/>
      <c r="F104" s="28"/>
      <c r="G104" s="28"/>
      <c r="H104" s="28"/>
      <c r="I104" s="28"/>
      <c r="J104" s="28"/>
      <c r="K104" s="28"/>
      <c r="L104" s="28"/>
      <c r="M104" s="28"/>
      <c r="N104" s="28"/>
      <c r="O104" s="28"/>
      <c r="P104" s="28"/>
      <c r="Q104" s="28"/>
      <c r="R104" s="28"/>
      <c r="S104" s="28"/>
      <c r="T104" s="28"/>
      <c r="U104" s="28"/>
      <c r="V104" s="27"/>
    </row>
    <row r="105" spans="1:22" s="20" customFormat="1" ht="14.1" customHeight="1">
      <c r="A105" s="42"/>
      <c r="D105" s="28"/>
      <c r="E105" s="28"/>
      <c r="F105" s="28"/>
      <c r="G105" s="28"/>
      <c r="H105" s="28"/>
      <c r="I105" s="28"/>
      <c r="J105" s="28"/>
      <c r="K105" s="28"/>
      <c r="L105" s="28"/>
      <c r="M105" s="28"/>
      <c r="N105" s="28"/>
      <c r="O105" s="28"/>
      <c r="P105" s="28"/>
      <c r="Q105" s="28"/>
      <c r="R105" s="28"/>
      <c r="S105" s="28"/>
      <c r="T105" s="28"/>
      <c r="U105" s="28"/>
      <c r="V105" s="27"/>
    </row>
    <row r="106" spans="1:22" s="20" customFormat="1" ht="14.1" customHeight="1">
      <c r="A106" s="42"/>
      <c r="D106" s="28"/>
      <c r="E106" s="28"/>
      <c r="F106" s="28"/>
      <c r="G106" s="28"/>
      <c r="H106" s="28"/>
      <c r="I106" s="28"/>
      <c r="J106" s="28"/>
      <c r="K106" s="28"/>
      <c r="L106" s="28"/>
      <c r="M106" s="28"/>
      <c r="N106" s="28"/>
      <c r="O106" s="28"/>
      <c r="P106" s="28"/>
      <c r="Q106" s="28"/>
      <c r="R106" s="28"/>
      <c r="S106" s="28"/>
      <c r="T106" s="28"/>
      <c r="U106" s="28"/>
      <c r="V106" s="27"/>
    </row>
    <row r="107" spans="1:22" s="20" customFormat="1" ht="14.1" customHeight="1">
      <c r="A107" s="42"/>
      <c r="D107" s="28"/>
      <c r="E107" s="28"/>
      <c r="F107" s="28"/>
      <c r="G107" s="28"/>
      <c r="H107" s="28"/>
      <c r="I107" s="28"/>
      <c r="J107" s="28"/>
      <c r="K107" s="28"/>
      <c r="L107" s="28"/>
      <c r="M107" s="28"/>
      <c r="N107" s="28"/>
      <c r="O107" s="28"/>
      <c r="P107" s="28"/>
      <c r="Q107" s="28"/>
      <c r="R107" s="28"/>
      <c r="S107" s="28"/>
      <c r="T107" s="28"/>
      <c r="U107" s="28"/>
      <c r="V107" s="27"/>
    </row>
    <row r="108" spans="1:22" s="20" customFormat="1" ht="5.85" customHeight="1">
      <c r="A108" s="42"/>
      <c r="D108" s="28"/>
      <c r="E108" s="28"/>
      <c r="F108" s="28"/>
      <c r="G108" s="28"/>
      <c r="H108" s="28"/>
      <c r="I108" s="28"/>
      <c r="J108" s="28"/>
      <c r="K108" s="28"/>
      <c r="L108" s="28"/>
      <c r="M108" s="28"/>
      <c r="N108" s="28"/>
      <c r="O108" s="28"/>
      <c r="P108" s="28"/>
      <c r="Q108" s="28"/>
      <c r="R108" s="28"/>
      <c r="S108" s="28"/>
      <c r="T108" s="28"/>
      <c r="U108" s="28"/>
      <c r="V108" s="27"/>
    </row>
    <row r="109" spans="1:22" s="20" customFormat="1" ht="5.85" customHeight="1">
      <c r="A109" s="42"/>
      <c r="D109" s="28"/>
      <c r="E109" s="28"/>
      <c r="F109" s="28"/>
      <c r="G109" s="28"/>
      <c r="H109" s="28"/>
      <c r="I109" s="28"/>
      <c r="J109" s="28"/>
      <c r="K109" s="28"/>
      <c r="L109" s="28"/>
      <c r="M109" s="28"/>
      <c r="N109" s="28"/>
      <c r="O109" s="28"/>
      <c r="P109" s="28"/>
      <c r="Q109" s="28"/>
      <c r="R109" s="28"/>
      <c r="S109" s="28"/>
      <c r="T109" s="28"/>
      <c r="U109" s="28"/>
      <c r="V109" s="27"/>
    </row>
    <row r="110" spans="1:22" s="20" customFormat="1" ht="5.85" customHeight="1">
      <c r="A110" s="42"/>
      <c r="D110" s="28"/>
      <c r="E110" s="28"/>
      <c r="F110" s="28"/>
      <c r="G110" s="28"/>
      <c r="H110" s="28"/>
      <c r="I110" s="28"/>
      <c r="J110" s="28"/>
      <c r="K110" s="28"/>
      <c r="L110" s="28"/>
      <c r="M110" s="28"/>
      <c r="N110" s="28"/>
      <c r="O110" s="28"/>
      <c r="P110" s="28"/>
      <c r="Q110" s="28"/>
      <c r="R110" s="28"/>
      <c r="S110" s="28"/>
      <c r="T110" s="28"/>
      <c r="U110" s="28"/>
      <c r="V110" s="27"/>
    </row>
    <row r="111" spans="1:22" s="20" customFormat="1" ht="5.85" customHeight="1">
      <c r="A111" s="42"/>
      <c r="D111" s="28"/>
      <c r="E111" s="28"/>
      <c r="F111" s="28"/>
      <c r="G111" s="28"/>
      <c r="H111" s="28"/>
      <c r="I111" s="28"/>
      <c r="J111" s="28"/>
      <c r="K111" s="28"/>
      <c r="L111" s="28"/>
      <c r="M111" s="28"/>
      <c r="N111" s="28"/>
      <c r="O111" s="28"/>
      <c r="P111" s="28"/>
      <c r="Q111" s="28"/>
      <c r="R111" s="28"/>
      <c r="S111" s="28"/>
      <c r="T111" s="28"/>
      <c r="U111" s="28"/>
      <c r="V111" s="27"/>
    </row>
    <row r="112" spans="1:22" s="20" customFormat="1" ht="20.25" customHeight="1">
      <c r="A112" s="5" t="s">
        <v>79</v>
      </c>
      <c r="B112" s="5"/>
      <c r="C112" s="5"/>
      <c r="D112" s="5"/>
      <c r="E112" s="5"/>
      <c r="F112" s="5"/>
      <c r="G112" s="5"/>
      <c r="H112" s="5"/>
      <c r="I112" s="5"/>
      <c r="J112" s="5"/>
      <c r="K112" s="5"/>
      <c r="L112" s="5"/>
      <c r="M112" s="5"/>
      <c r="N112" s="5"/>
      <c r="O112" s="5"/>
      <c r="P112" s="5"/>
      <c r="Q112" s="5"/>
      <c r="R112" s="5"/>
      <c r="S112" s="5"/>
      <c r="T112" s="5"/>
      <c r="U112" s="5"/>
      <c r="V112" s="27"/>
    </row>
    <row r="113" spans="1:22" s="20" customFormat="1" ht="18" customHeight="1">
      <c r="A113" s="5" t="s">
        <v>80</v>
      </c>
      <c r="B113" s="5"/>
      <c r="C113" s="5"/>
      <c r="D113" s="5"/>
      <c r="E113" s="5"/>
      <c r="F113" s="5"/>
      <c r="G113" s="5"/>
      <c r="H113" s="5"/>
      <c r="I113" s="5"/>
      <c r="J113" s="5"/>
      <c r="K113" s="5"/>
      <c r="L113" s="5"/>
      <c r="M113" s="5"/>
      <c r="N113" s="5"/>
      <c r="O113" s="5"/>
      <c r="P113" s="5"/>
      <c r="Q113" s="5"/>
      <c r="R113" s="5"/>
      <c r="S113" s="5"/>
      <c r="T113" s="5"/>
      <c r="U113" s="5"/>
      <c r="V113" s="27"/>
    </row>
    <row r="114" spans="1:22" s="20" customFormat="1" ht="5.25" customHeight="1">
      <c r="A114" s="43"/>
      <c r="B114" s="44"/>
      <c r="C114" s="44"/>
      <c r="D114" s="45"/>
      <c r="E114" s="46"/>
      <c r="F114" s="46"/>
      <c r="G114" s="46"/>
      <c r="H114" s="46"/>
      <c r="I114" s="46"/>
      <c r="J114" s="46"/>
      <c r="K114" s="46"/>
      <c r="L114" s="46"/>
      <c r="M114" s="46"/>
      <c r="N114" s="46"/>
      <c r="O114" s="46"/>
      <c r="P114" s="46"/>
      <c r="Q114" s="46"/>
      <c r="R114" s="46"/>
      <c r="S114" s="46"/>
      <c r="T114" s="46"/>
      <c r="U114" s="46"/>
      <c r="V114" s="27"/>
    </row>
    <row r="115" spans="1:22" s="20" customFormat="1" ht="20.25" customHeight="1">
      <c r="A115" s="47"/>
      <c r="B115" s="8" t="s">
        <v>81</v>
      </c>
      <c r="C115" s="32" t="s">
        <v>82</v>
      </c>
      <c r="D115" s="32"/>
      <c r="E115" s="32"/>
      <c r="F115" s="32"/>
      <c r="G115" s="32"/>
      <c r="H115" s="32"/>
      <c r="I115" s="32"/>
      <c r="J115" s="32"/>
      <c r="K115" s="32"/>
      <c r="L115" s="32"/>
      <c r="M115" s="32"/>
      <c r="N115" s="32"/>
      <c r="O115" s="32"/>
      <c r="P115" s="32"/>
      <c r="Q115" s="32"/>
      <c r="R115" s="32"/>
      <c r="S115" s="32"/>
      <c r="T115" s="32"/>
      <c r="U115" s="32"/>
      <c r="V115" s="27"/>
    </row>
    <row r="116" spans="1:22" s="20" customFormat="1" ht="20.25" customHeight="1">
      <c r="A116" s="47"/>
      <c r="B116" s="9" t="str">
        <f>"2.1.1. Ringkasan Laporan Realisasi Anggaran Tahun Anggaran "&amp;'[1]2.ISIAN DATA SKPD'!D11&amp;""</f>
        <v>2.1.1. Ringkasan Laporan Realisasi Anggaran Tahun Anggaran 2017</v>
      </c>
      <c r="C116" s="48"/>
      <c r="D116" s="48"/>
      <c r="E116" s="48"/>
      <c r="F116" s="48"/>
      <c r="G116" s="48"/>
      <c r="H116" s="48"/>
      <c r="I116" s="48"/>
      <c r="J116" s="48"/>
      <c r="K116" s="48"/>
      <c r="L116" s="48"/>
      <c r="M116" s="48"/>
      <c r="N116" s="48"/>
      <c r="O116" s="48"/>
      <c r="P116" s="48"/>
      <c r="Q116" s="48"/>
      <c r="R116" s="48"/>
      <c r="S116" s="48"/>
      <c r="T116" s="48"/>
      <c r="U116" s="48"/>
      <c r="V116" s="27"/>
    </row>
    <row r="117" spans="1:22" s="20" customFormat="1" ht="45" customHeight="1">
      <c r="A117" s="47"/>
      <c r="B117" s="44"/>
      <c r="C117" s="49" t="str">
        <f>"Selama periode berjalan, "&amp;'[1]2.ISIAN DATA SKPD'!D2&amp;" telah mengadakan revisi Dokumen Pelaksanaan  Anggaran Perubahan (DPAP) dari DPA awal. "</f>
        <v xml:space="preserve">Selama periode berjalan, Dinas Pekerjaan Umum dan Penataan Ruang telah mengadakan revisi Dokumen Pelaksanaan  Anggaran Perubahan (DPAP) dari DPA awal. </v>
      </c>
      <c r="D117" s="49"/>
      <c r="E117" s="49"/>
      <c r="F117" s="49"/>
      <c r="G117" s="49"/>
      <c r="H117" s="49"/>
      <c r="I117" s="49"/>
      <c r="J117" s="49"/>
      <c r="K117" s="49"/>
      <c r="L117" s="49"/>
      <c r="M117" s="49"/>
      <c r="N117" s="49"/>
      <c r="O117" s="49"/>
      <c r="P117" s="49"/>
      <c r="Q117" s="49"/>
      <c r="R117" s="49"/>
      <c r="S117" s="49"/>
      <c r="T117" s="49"/>
      <c r="U117" s="49"/>
      <c r="V117" s="27"/>
    </row>
    <row r="118" spans="1:22" s="20" customFormat="1" ht="77.25" customHeight="1">
      <c r="A118" s="47"/>
      <c r="B118" s="44"/>
      <c r="C118" s="49" t="s">
        <v>83</v>
      </c>
      <c r="D118" s="49"/>
      <c r="E118" s="49"/>
      <c r="F118" s="49"/>
      <c r="G118" s="49"/>
      <c r="H118" s="49"/>
      <c r="I118" s="49"/>
      <c r="J118" s="49"/>
      <c r="K118" s="49"/>
      <c r="L118" s="49"/>
      <c r="M118" s="49"/>
      <c r="N118" s="49"/>
      <c r="O118" s="49"/>
      <c r="P118" s="49"/>
      <c r="Q118" s="49"/>
      <c r="R118" s="49"/>
      <c r="S118" s="49"/>
      <c r="T118" s="49"/>
      <c r="U118" s="49"/>
      <c r="V118" s="27"/>
    </row>
    <row r="119" spans="1:22" s="20" customFormat="1" ht="8.25" customHeight="1">
      <c r="A119" s="50"/>
      <c r="B119" s="44"/>
      <c r="C119" s="51"/>
      <c r="D119" s="51"/>
      <c r="E119" s="51"/>
      <c r="F119" s="51"/>
      <c r="G119" s="51"/>
      <c r="H119" s="51"/>
      <c r="I119" s="51"/>
      <c r="J119" s="51"/>
      <c r="K119" s="51"/>
      <c r="L119" s="51"/>
      <c r="M119" s="51"/>
      <c r="N119" s="51"/>
      <c r="O119" s="51"/>
      <c r="P119" s="51"/>
      <c r="Q119" s="51"/>
      <c r="R119" s="51"/>
      <c r="S119" s="51"/>
      <c r="T119" s="51"/>
      <c r="U119" s="51"/>
      <c r="V119" s="27"/>
    </row>
    <row r="120" spans="1:22" s="20" customFormat="1" ht="15.75" customHeight="1">
      <c r="A120" s="52" t="s">
        <v>84</v>
      </c>
      <c r="B120" s="53"/>
      <c r="C120" s="53"/>
      <c r="D120" s="53"/>
      <c r="E120" s="53"/>
      <c r="F120" s="54"/>
      <c r="G120" s="55" t="s">
        <v>85</v>
      </c>
      <c r="H120" s="56"/>
      <c r="I120" s="56"/>
      <c r="J120" s="56"/>
      <c r="K120" s="57"/>
      <c r="L120" s="58" t="s">
        <v>86</v>
      </c>
      <c r="M120" s="59"/>
      <c r="N120" s="59"/>
      <c r="O120" s="59"/>
      <c r="P120" s="60"/>
      <c r="Q120" s="58" t="s">
        <v>87</v>
      </c>
      <c r="R120" s="59"/>
      <c r="S120" s="59"/>
      <c r="T120" s="59"/>
      <c r="U120" s="60"/>
      <c r="V120" s="27"/>
    </row>
    <row r="121" spans="1:22" s="20" customFormat="1" ht="13.5" customHeight="1">
      <c r="A121" s="61"/>
      <c r="B121" s="62"/>
      <c r="C121" s="62"/>
      <c r="D121" s="62"/>
      <c r="E121" s="62"/>
      <c r="F121" s="63"/>
      <c r="G121" s="64"/>
      <c r="H121" s="65"/>
      <c r="I121" s="65"/>
      <c r="J121" s="65"/>
      <c r="K121" s="66"/>
      <c r="L121" s="67"/>
      <c r="M121" s="68"/>
      <c r="N121" s="68"/>
      <c r="O121" s="68"/>
      <c r="P121" s="69"/>
      <c r="Q121" s="67"/>
      <c r="R121" s="68"/>
      <c r="S121" s="68"/>
      <c r="T121" s="68"/>
      <c r="U121" s="69"/>
      <c r="V121" s="27"/>
    </row>
    <row r="122" spans="1:22" s="20" customFormat="1" ht="21" customHeight="1">
      <c r="A122" s="70" t="s">
        <v>88</v>
      </c>
      <c r="B122" s="71"/>
      <c r="C122" s="72"/>
      <c r="D122" s="72"/>
      <c r="E122" s="72"/>
      <c r="F122" s="72"/>
      <c r="G122" s="73"/>
      <c r="H122" s="74"/>
      <c r="I122" s="74"/>
      <c r="J122" s="74"/>
      <c r="K122" s="75"/>
      <c r="L122" s="76"/>
      <c r="M122" s="77"/>
      <c r="N122" s="77"/>
      <c r="O122" s="77"/>
      <c r="P122" s="78"/>
      <c r="Q122" s="76"/>
      <c r="R122" s="77"/>
      <c r="S122" s="77"/>
      <c r="T122" s="77"/>
      <c r="U122" s="78"/>
      <c r="V122" s="27"/>
    </row>
    <row r="123" spans="1:22" s="20" customFormat="1" ht="16.5" customHeight="1">
      <c r="A123" s="79" t="s">
        <v>89</v>
      </c>
      <c r="B123" s="71"/>
      <c r="D123" s="80"/>
      <c r="E123" s="80"/>
      <c r="F123" s="80"/>
      <c r="G123" s="81">
        <f>'[1]3.LRA'!D5</f>
        <v>185000000</v>
      </c>
      <c r="H123" s="82"/>
      <c r="I123" s="82"/>
      <c r="J123" s="82"/>
      <c r="K123" s="83"/>
      <c r="L123" s="81">
        <f>'[1]3.LRA'!E5</f>
        <v>185000000</v>
      </c>
      <c r="M123" s="82"/>
      <c r="N123" s="82"/>
      <c r="O123" s="82"/>
      <c r="P123" s="83"/>
      <c r="Q123" s="81">
        <f t="shared" ref="Q123:Q131" si="1">L123-G123</f>
        <v>0</v>
      </c>
      <c r="R123" s="82"/>
      <c r="S123" s="82"/>
      <c r="T123" s="82"/>
      <c r="U123" s="83"/>
      <c r="V123" s="27"/>
    </row>
    <row r="124" spans="1:22" s="20" customFormat="1" ht="15.75" customHeight="1">
      <c r="A124" s="84" t="s">
        <v>90</v>
      </c>
      <c r="B124" s="71"/>
      <c r="C124" s="71"/>
      <c r="D124" s="85"/>
      <c r="E124" s="85"/>
      <c r="F124" s="85"/>
      <c r="G124" s="81">
        <f>'[1]3.LRA'!D6</f>
        <v>0</v>
      </c>
      <c r="H124" s="82"/>
      <c r="I124" s="82"/>
      <c r="J124" s="82"/>
      <c r="K124" s="83"/>
      <c r="L124" s="81">
        <f>'[1]3.LRA'!E6</f>
        <v>0</v>
      </c>
      <c r="M124" s="82"/>
      <c r="N124" s="82"/>
      <c r="O124" s="82"/>
      <c r="P124" s="83"/>
      <c r="Q124" s="81">
        <f t="shared" si="1"/>
        <v>0</v>
      </c>
      <c r="R124" s="82"/>
      <c r="S124" s="82"/>
      <c r="T124" s="82"/>
      <c r="U124" s="83"/>
      <c r="V124" s="27"/>
    </row>
    <row r="125" spans="1:22" s="20" customFormat="1" ht="15.75" customHeight="1">
      <c r="A125" s="84" t="s">
        <v>91</v>
      </c>
      <c r="B125" s="71"/>
      <c r="C125" s="71"/>
      <c r="D125" s="85"/>
      <c r="E125" s="85"/>
      <c r="F125" s="85"/>
      <c r="G125" s="81">
        <f>'[1]3.LRA'!D7</f>
        <v>105000000</v>
      </c>
      <c r="H125" s="82"/>
      <c r="I125" s="82"/>
      <c r="J125" s="82"/>
      <c r="K125" s="83"/>
      <c r="L125" s="81">
        <f>'[1]3.LRA'!E7</f>
        <v>105000000</v>
      </c>
      <c r="M125" s="82"/>
      <c r="N125" s="82"/>
      <c r="O125" s="82"/>
      <c r="P125" s="83"/>
      <c r="Q125" s="81">
        <f t="shared" si="1"/>
        <v>0</v>
      </c>
      <c r="R125" s="82"/>
      <c r="S125" s="82"/>
      <c r="T125" s="82"/>
      <c r="U125" s="83"/>
      <c r="V125" s="27"/>
    </row>
    <row r="126" spans="1:22" s="20" customFormat="1" ht="15.75" customHeight="1">
      <c r="A126" s="86" t="s">
        <v>92</v>
      </c>
      <c r="B126" s="71"/>
      <c r="C126" s="87"/>
      <c r="D126" s="87"/>
      <c r="E126" s="87"/>
      <c r="F126" s="87"/>
      <c r="G126" s="81">
        <f>SUM(G123:K125)</f>
        <v>290000000</v>
      </c>
      <c r="H126" s="82"/>
      <c r="I126" s="82"/>
      <c r="J126" s="82"/>
      <c r="K126" s="83"/>
      <c r="L126" s="81">
        <f>SUM(L123:P125)</f>
        <v>290000000</v>
      </c>
      <c r="M126" s="82"/>
      <c r="N126" s="82"/>
      <c r="O126" s="82"/>
      <c r="P126" s="83"/>
      <c r="Q126" s="81">
        <f t="shared" si="1"/>
        <v>0</v>
      </c>
      <c r="R126" s="82"/>
      <c r="S126" s="82"/>
      <c r="T126" s="82"/>
      <c r="U126" s="83"/>
      <c r="V126" s="27"/>
    </row>
    <row r="127" spans="1:22" s="20" customFormat="1" ht="15.75" customHeight="1">
      <c r="A127" s="86" t="s">
        <v>93</v>
      </c>
      <c r="B127" s="71"/>
      <c r="C127" s="87"/>
      <c r="D127" s="87"/>
      <c r="E127" s="87"/>
      <c r="F127" s="87"/>
      <c r="G127" s="88"/>
      <c r="H127" s="89"/>
      <c r="I127" s="89"/>
      <c r="J127" s="89"/>
      <c r="K127" s="89"/>
      <c r="L127" s="82"/>
      <c r="M127" s="82"/>
      <c r="N127" s="82"/>
      <c r="O127" s="82"/>
      <c r="P127" s="83"/>
      <c r="Q127" s="81">
        <f t="shared" si="1"/>
        <v>0</v>
      </c>
      <c r="R127" s="82"/>
      <c r="S127" s="82"/>
      <c r="T127" s="82"/>
      <c r="U127" s="83"/>
      <c r="V127" s="27"/>
    </row>
    <row r="128" spans="1:22" s="20" customFormat="1" ht="15.75" customHeight="1">
      <c r="A128" s="84" t="s">
        <v>94</v>
      </c>
      <c r="B128" s="71"/>
      <c r="C128" s="71"/>
      <c r="D128" s="90"/>
      <c r="E128" s="90"/>
      <c r="F128" s="90"/>
      <c r="G128" s="81">
        <f>'[1]3.LRA'!D10</f>
        <v>28747046620</v>
      </c>
      <c r="H128" s="82"/>
      <c r="I128" s="82"/>
      <c r="J128" s="82"/>
      <c r="K128" s="83"/>
      <c r="L128" s="81">
        <f>'[1]3.LRA'!E10</f>
        <v>31158545710</v>
      </c>
      <c r="M128" s="82"/>
      <c r="N128" s="82"/>
      <c r="O128" s="82"/>
      <c r="P128" s="83"/>
      <c r="Q128" s="81">
        <f t="shared" si="1"/>
        <v>2411499090</v>
      </c>
      <c r="R128" s="82"/>
      <c r="S128" s="82"/>
      <c r="T128" s="82"/>
      <c r="U128" s="83"/>
      <c r="V128" s="27"/>
    </row>
    <row r="129" spans="1:39" s="20" customFormat="1" ht="15.75" customHeight="1">
      <c r="A129" s="84" t="s">
        <v>95</v>
      </c>
      <c r="B129" s="71"/>
      <c r="C129" s="71"/>
      <c r="D129" s="90"/>
      <c r="E129" s="90"/>
      <c r="F129" s="90"/>
      <c r="G129" s="81">
        <f>'[1]3.LRA'!D11</f>
        <v>125287058010</v>
      </c>
      <c r="H129" s="82"/>
      <c r="I129" s="82"/>
      <c r="J129" s="82"/>
      <c r="K129" s="83"/>
      <c r="L129" s="81">
        <f>'[1]3.LRA'!E11</f>
        <v>120018163510</v>
      </c>
      <c r="M129" s="82"/>
      <c r="N129" s="82"/>
      <c r="O129" s="82"/>
      <c r="P129" s="83"/>
      <c r="Q129" s="81">
        <f t="shared" si="1"/>
        <v>-5268894500</v>
      </c>
      <c r="R129" s="82"/>
      <c r="S129" s="82"/>
      <c r="T129" s="82"/>
      <c r="U129" s="83"/>
      <c r="V129" s="27"/>
    </row>
    <row r="130" spans="1:39" s="20" customFormat="1" ht="15.75" customHeight="1">
      <c r="A130" s="84" t="s">
        <v>96</v>
      </c>
      <c r="B130" s="71"/>
      <c r="C130" s="71"/>
      <c r="D130" s="90"/>
      <c r="E130" s="90"/>
      <c r="F130" s="90"/>
      <c r="G130" s="81">
        <f>'[1]3.LRA'!D12</f>
        <v>0</v>
      </c>
      <c r="H130" s="82"/>
      <c r="I130" s="82"/>
      <c r="J130" s="82"/>
      <c r="K130" s="83"/>
      <c r="L130" s="81">
        <f>'[1]3.LRA'!E12</f>
        <v>0</v>
      </c>
      <c r="M130" s="82"/>
      <c r="N130" s="82"/>
      <c r="O130" s="82"/>
      <c r="P130" s="83"/>
      <c r="Q130" s="81">
        <f t="shared" si="1"/>
        <v>0</v>
      </c>
      <c r="R130" s="82"/>
      <c r="S130" s="82"/>
      <c r="T130" s="82"/>
      <c r="U130" s="83"/>
      <c r="V130" s="27"/>
    </row>
    <row r="131" spans="1:39" s="20" customFormat="1" ht="15.75" customHeight="1">
      <c r="A131" s="84" t="s">
        <v>97</v>
      </c>
      <c r="B131" s="71"/>
      <c r="C131" s="71"/>
      <c r="D131" s="90"/>
      <c r="E131" s="90"/>
      <c r="F131" s="90"/>
      <c r="G131" s="81">
        <f>'[1]3.LRA'!D13</f>
        <v>0</v>
      </c>
      <c r="H131" s="82"/>
      <c r="I131" s="82"/>
      <c r="J131" s="82"/>
      <c r="K131" s="83"/>
      <c r="L131" s="81">
        <f>'[1]3.LRA'!E13</f>
        <v>0</v>
      </c>
      <c r="M131" s="82"/>
      <c r="N131" s="82"/>
      <c r="O131" s="82"/>
      <c r="P131" s="83"/>
      <c r="Q131" s="81">
        <f t="shared" si="1"/>
        <v>0</v>
      </c>
      <c r="R131" s="82"/>
      <c r="S131" s="82"/>
      <c r="T131" s="82"/>
      <c r="U131" s="83"/>
      <c r="V131" s="27"/>
    </row>
    <row r="132" spans="1:39" s="20" customFormat="1" ht="15.75" customHeight="1">
      <c r="A132" s="86" t="s">
        <v>98</v>
      </c>
      <c r="B132" s="71"/>
      <c r="C132" s="87"/>
      <c r="D132" s="87"/>
      <c r="E132" s="87"/>
      <c r="F132" s="87"/>
      <c r="G132" s="81">
        <f>SUM(G128:M131)</f>
        <v>305210813850</v>
      </c>
      <c r="H132" s="82"/>
      <c r="I132" s="82"/>
      <c r="J132" s="82"/>
      <c r="K132" s="83"/>
      <c r="L132" s="81">
        <f>SUM(L128:Q131)</f>
        <v>148319313810</v>
      </c>
      <c r="M132" s="82"/>
      <c r="N132" s="82"/>
      <c r="O132" s="82"/>
      <c r="P132" s="83"/>
      <c r="Q132" s="81">
        <f>SUM(Q128:U131)</f>
        <v>-2857395410</v>
      </c>
      <c r="R132" s="82"/>
      <c r="S132" s="82"/>
      <c r="T132" s="82"/>
      <c r="U132" s="83"/>
      <c r="V132" s="27"/>
    </row>
    <row r="133" spans="1:39" s="20" customFormat="1" ht="15.75" customHeight="1">
      <c r="A133" s="86" t="s">
        <v>99</v>
      </c>
      <c r="B133" s="71"/>
      <c r="C133" s="87"/>
      <c r="D133" s="87"/>
      <c r="E133" s="87"/>
      <c r="F133" s="87"/>
      <c r="G133" s="81">
        <f>G126-G132</f>
        <v>-304920813850</v>
      </c>
      <c r="H133" s="82"/>
      <c r="I133" s="82"/>
      <c r="J133" s="82"/>
      <c r="K133" s="83"/>
      <c r="L133" s="81">
        <f>L126-L132</f>
        <v>-148029313810</v>
      </c>
      <c r="M133" s="82"/>
      <c r="N133" s="82"/>
      <c r="O133" s="82"/>
      <c r="P133" s="83"/>
      <c r="Q133" s="81">
        <f>Q126-Q132</f>
        <v>2857395410</v>
      </c>
      <c r="R133" s="82"/>
      <c r="S133" s="82"/>
      <c r="T133" s="82"/>
      <c r="U133" s="83"/>
      <c r="V133" s="27"/>
    </row>
    <row r="134" spans="1:39" s="20" customFormat="1" ht="12" customHeight="1">
      <c r="A134" s="18"/>
      <c r="B134" s="91"/>
      <c r="C134" s="91"/>
      <c r="D134" s="91"/>
      <c r="E134" s="91"/>
      <c r="F134" s="91"/>
      <c r="G134" s="91"/>
      <c r="H134" s="91"/>
      <c r="I134" s="92"/>
      <c r="J134" s="93"/>
      <c r="K134" s="93"/>
      <c r="L134" s="93"/>
      <c r="M134" s="93"/>
      <c r="N134" s="93"/>
      <c r="O134" s="93"/>
      <c r="P134" s="93"/>
      <c r="Q134" s="93"/>
      <c r="R134" s="93"/>
      <c r="S134" s="93"/>
      <c r="T134" s="93"/>
      <c r="U134" s="93"/>
      <c r="V134" s="27"/>
    </row>
    <row r="135" spans="1:39" s="20" customFormat="1" ht="48" customHeight="1">
      <c r="A135" s="18"/>
      <c r="B135" s="91"/>
      <c r="C135" s="94" t="str">
        <f>"Realisasi Pendapatan, Belanja dan Pembiayaan untuk periode yang berakhir pada tanggal "&amp;'[1]2.ISIAN DATA SKPD'!D10&amp;" sebagaimana tabel dibawah ini :"</f>
        <v>Realisasi Pendapatan, Belanja dan Pembiayaan untuk periode yang berakhir pada tanggal 31 Desember 2017 sebagaimana tabel dibawah ini :</v>
      </c>
      <c r="D135" s="94"/>
      <c r="E135" s="94"/>
      <c r="F135" s="94"/>
      <c r="G135" s="94"/>
      <c r="H135" s="94"/>
      <c r="I135" s="94"/>
      <c r="J135" s="94"/>
      <c r="K135" s="94"/>
      <c r="L135" s="94"/>
      <c r="M135" s="94"/>
      <c r="N135" s="94"/>
      <c r="O135" s="94"/>
      <c r="P135" s="94"/>
      <c r="Q135" s="94"/>
      <c r="R135" s="94"/>
      <c r="S135" s="94"/>
      <c r="T135" s="94"/>
      <c r="U135" s="94"/>
      <c r="V135" s="95"/>
      <c r="W135" s="95"/>
      <c r="X135" s="95"/>
      <c r="Y135" s="95"/>
      <c r="Z135" s="95"/>
      <c r="AA135" s="95"/>
      <c r="AB135" s="95"/>
      <c r="AC135" s="95"/>
      <c r="AD135" s="95"/>
      <c r="AE135" s="95"/>
      <c r="AF135" s="95"/>
      <c r="AG135" s="95"/>
      <c r="AH135" s="95"/>
      <c r="AI135" s="95"/>
      <c r="AJ135" s="95"/>
      <c r="AK135" s="95"/>
      <c r="AL135" s="95"/>
      <c r="AM135" s="95"/>
    </row>
    <row r="136" spans="1:39" s="20" customFormat="1" ht="15.75" customHeight="1">
      <c r="A136" s="18"/>
      <c r="B136" s="91"/>
      <c r="C136" s="96"/>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row>
    <row r="137" spans="1:39" s="20" customFormat="1" ht="15.75" customHeight="1">
      <c r="A137" s="98" t="str">
        <f>"Ikhtisar Anggaran dan Realisasi TA "&amp;'[1]2.ISIAN DATA SKPD'!D11&amp;""</f>
        <v>Ikhtisar Anggaran dan Realisasi TA 2017</v>
      </c>
      <c r="B137" s="98"/>
      <c r="C137" s="98"/>
      <c r="D137" s="98"/>
      <c r="E137" s="98"/>
      <c r="F137" s="98"/>
      <c r="G137" s="98"/>
      <c r="H137" s="98"/>
      <c r="I137" s="98"/>
      <c r="J137" s="98"/>
      <c r="K137" s="98"/>
      <c r="L137" s="98"/>
      <c r="M137" s="98"/>
      <c r="N137" s="98"/>
      <c r="O137" s="98"/>
      <c r="P137" s="98"/>
      <c r="Q137" s="98"/>
      <c r="R137" s="98"/>
      <c r="S137" s="98"/>
      <c r="T137" s="98"/>
      <c r="U137" s="98"/>
      <c r="V137" s="27"/>
    </row>
    <row r="138" spans="1:39" s="20" customFormat="1" ht="32.25" customHeight="1">
      <c r="A138" s="52" t="s">
        <v>84</v>
      </c>
      <c r="B138" s="53"/>
      <c r="C138" s="53"/>
      <c r="D138" s="54"/>
      <c r="E138" s="55" t="s">
        <v>100</v>
      </c>
      <c r="F138" s="56"/>
      <c r="G138" s="56"/>
      <c r="H138" s="56"/>
      <c r="I138" s="56"/>
      <c r="J138" s="57"/>
      <c r="K138" s="58" t="str">
        <f>"Realisasi TA "&amp;'[1]2.ISIAN DATA SKPD'!D11&amp;""</f>
        <v>Realisasi TA 2017</v>
      </c>
      <c r="L138" s="59"/>
      <c r="M138" s="59"/>
      <c r="N138" s="59"/>
      <c r="O138" s="60"/>
      <c r="P138" s="99" t="s">
        <v>101</v>
      </c>
      <c r="Q138" s="99"/>
      <c r="R138" s="99"/>
      <c r="S138" s="99"/>
      <c r="T138" s="99" t="s">
        <v>102</v>
      </c>
      <c r="U138" s="99"/>
      <c r="V138" s="27"/>
    </row>
    <row r="139" spans="1:39" s="20" customFormat="1" ht="15.75" customHeight="1">
      <c r="A139" s="70" t="s">
        <v>103</v>
      </c>
      <c r="B139" s="72"/>
      <c r="C139" s="72"/>
      <c r="D139" s="72"/>
      <c r="E139" s="100"/>
      <c r="F139" s="101"/>
      <c r="G139" s="101"/>
      <c r="H139" s="101"/>
      <c r="I139" s="101"/>
      <c r="J139" s="102"/>
      <c r="K139" s="103"/>
      <c r="L139" s="104"/>
      <c r="M139" s="104"/>
      <c r="N139" s="104"/>
      <c r="O139" s="105"/>
      <c r="P139" s="106"/>
      <c r="Q139" s="106"/>
      <c r="R139" s="106"/>
      <c r="S139" s="106"/>
      <c r="T139" s="99"/>
      <c r="U139" s="99"/>
      <c r="V139" s="27"/>
    </row>
    <row r="140" spans="1:39" s="20" customFormat="1" ht="15.75" customHeight="1">
      <c r="A140" s="79" t="s">
        <v>88</v>
      </c>
      <c r="C140" s="80"/>
      <c r="D140" s="80"/>
      <c r="E140" s="107">
        <f>'[1]3.LRA'!D18</f>
        <v>290000000</v>
      </c>
      <c r="F140" s="108"/>
      <c r="G140" s="108"/>
      <c r="H140" s="108"/>
      <c r="I140" s="108"/>
      <c r="J140" s="109"/>
      <c r="K140" s="110">
        <f>'[1]3.LRA'!E18</f>
        <v>534830700</v>
      </c>
      <c r="L140" s="111"/>
      <c r="M140" s="111"/>
      <c r="N140" s="111"/>
      <c r="O140" s="112"/>
      <c r="P140" s="113">
        <f>K140-E140</f>
        <v>244830700</v>
      </c>
      <c r="Q140" s="113"/>
      <c r="R140" s="113"/>
      <c r="S140" s="113"/>
      <c r="T140" s="114">
        <f>K140/E140*100</f>
        <v>184.42437931034482</v>
      </c>
      <c r="U140" s="114"/>
      <c r="V140" s="27"/>
    </row>
    <row r="141" spans="1:39" s="20" customFormat="1" ht="15.75" customHeight="1">
      <c r="A141" s="84" t="s">
        <v>93</v>
      </c>
      <c r="B141" s="71"/>
      <c r="C141" s="85"/>
      <c r="D141" s="85"/>
      <c r="E141" s="107">
        <f>'[1]3.LRA'!D39</f>
        <v>151176709220</v>
      </c>
      <c r="F141" s="108"/>
      <c r="G141" s="108"/>
      <c r="H141" s="108"/>
      <c r="I141" s="108"/>
      <c r="J141" s="109"/>
      <c r="K141" s="110">
        <f>'[1]3.LRA'!E39</f>
        <v>137476434974</v>
      </c>
      <c r="L141" s="111"/>
      <c r="M141" s="111"/>
      <c r="N141" s="111"/>
      <c r="O141" s="112"/>
      <c r="P141" s="115">
        <f t="shared" ref="P141:P147" si="2">K141-E141</f>
        <v>-13700274246</v>
      </c>
      <c r="Q141" s="115"/>
      <c r="R141" s="115"/>
      <c r="S141" s="115"/>
      <c r="T141" s="114">
        <f>K141/E141*100</f>
        <v>90.937576087820077</v>
      </c>
      <c r="U141" s="114"/>
      <c r="V141" s="27"/>
    </row>
    <row r="142" spans="1:39" s="20" customFormat="1" ht="15.75" customHeight="1">
      <c r="A142" s="86" t="s">
        <v>104</v>
      </c>
      <c r="B142" s="87"/>
      <c r="C142" s="87"/>
      <c r="D142" s="87"/>
      <c r="E142" s="81">
        <f>E140-E141</f>
        <v>-150886709220</v>
      </c>
      <c r="F142" s="82"/>
      <c r="G142" s="82"/>
      <c r="H142" s="82"/>
      <c r="I142" s="82"/>
      <c r="J142" s="83"/>
      <c r="K142" s="81">
        <f>K140-K141</f>
        <v>-136941604274</v>
      </c>
      <c r="L142" s="82"/>
      <c r="M142" s="82"/>
      <c r="N142" s="82"/>
      <c r="O142" s="83"/>
      <c r="P142" s="115">
        <f t="shared" si="2"/>
        <v>13945104946</v>
      </c>
      <c r="Q142" s="115"/>
      <c r="R142" s="115"/>
      <c r="S142" s="115"/>
      <c r="T142" s="114">
        <f>K142/E142*100</f>
        <v>90.757897088425878</v>
      </c>
      <c r="U142" s="114"/>
      <c r="V142" s="27"/>
    </row>
    <row r="143" spans="1:39" s="20" customFormat="1" ht="15.75" customHeight="1">
      <c r="A143" s="86" t="s">
        <v>105</v>
      </c>
      <c r="B143" s="71"/>
      <c r="C143" s="90"/>
      <c r="D143" s="90"/>
      <c r="E143" s="116"/>
      <c r="F143" s="117"/>
      <c r="G143" s="117"/>
      <c r="H143" s="117"/>
      <c r="I143" s="117"/>
      <c r="J143" s="118"/>
      <c r="K143" s="110"/>
      <c r="L143" s="111"/>
      <c r="M143" s="111"/>
      <c r="N143" s="111"/>
      <c r="O143" s="112"/>
      <c r="P143" s="115"/>
      <c r="Q143" s="115"/>
      <c r="R143" s="115"/>
      <c r="S143" s="115"/>
      <c r="T143" s="114"/>
      <c r="U143" s="114"/>
      <c r="V143" s="27"/>
    </row>
    <row r="144" spans="1:39" s="20" customFormat="1" ht="15.75" customHeight="1">
      <c r="A144" s="84" t="s">
        <v>106</v>
      </c>
      <c r="B144" s="71"/>
      <c r="C144" s="90"/>
      <c r="D144" s="90"/>
      <c r="E144" s="116">
        <f>'[1]3.LRA'!D110</f>
        <v>0</v>
      </c>
      <c r="F144" s="117"/>
      <c r="G144" s="117"/>
      <c r="H144" s="117"/>
      <c r="I144" s="117"/>
      <c r="J144" s="118"/>
      <c r="K144" s="110">
        <f>'[1]3.LRA'!E110</f>
        <v>0</v>
      </c>
      <c r="L144" s="111"/>
      <c r="M144" s="111"/>
      <c r="N144" s="111"/>
      <c r="O144" s="112"/>
      <c r="P144" s="115">
        <f t="shared" si="2"/>
        <v>0</v>
      </c>
      <c r="Q144" s="115"/>
      <c r="R144" s="115"/>
      <c r="S144" s="115"/>
      <c r="T144" s="119">
        <v>0</v>
      </c>
      <c r="U144" s="119"/>
      <c r="V144" s="27"/>
    </row>
    <row r="145" spans="1:22" s="20" customFormat="1" ht="15.75" customHeight="1">
      <c r="A145" s="84" t="s">
        <v>107</v>
      </c>
      <c r="B145" s="71"/>
      <c r="C145" s="90"/>
      <c r="D145" s="90"/>
      <c r="E145" s="116">
        <f>'[1]3.LRA'!D116</f>
        <v>0</v>
      </c>
      <c r="F145" s="117"/>
      <c r="G145" s="117"/>
      <c r="H145" s="117"/>
      <c r="I145" s="117"/>
      <c r="J145" s="118"/>
      <c r="K145" s="110">
        <f>'[1]3.LRA'!E116</f>
        <v>0</v>
      </c>
      <c r="L145" s="111"/>
      <c r="M145" s="111"/>
      <c r="N145" s="111"/>
      <c r="O145" s="112"/>
      <c r="P145" s="115">
        <f t="shared" si="2"/>
        <v>0</v>
      </c>
      <c r="Q145" s="115"/>
      <c r="R145" s="115"/>
      <c r="S145" s="115"/>
      <c r="T145" s="119">
        <v>0</v>
      </c>
      <c r="U145" s="119"/>
      <c r="V145" s="27"/>
    </row>
    <row r="146" spans="1:22" s="20" customFormat="1" ht="15.75" customHeight="1">
      <c r="A146" s="86" t="s">
        <v>108</v>
      </c>
      <c r="B146" s="87"/>
      <c r="C146" s="87"/>
      <c r="D146" s="87"/>
      <c r="E146" s="81">
        <f>E144-E145</f>
        <v>0</v>
      </c>
      <c r="F146" s="82"/>
      <c r="G146" s="82"/>
      <c r="H146" s="82"/>
      <c r="I146" s="82"/>
      <c r="J146" s="83"/>
      <c r="K146" s="81">
        <f>K144-K145</f>
        <v>0</v>
      </c>
      <c r="L146" s="82"/>
      <c r="M146" s="82"/>
      <c r="N146" s="82"/>
      <c r="O146" s="83"/>
      <c r="P146" s="115">
        <f t="shared" si="2"/>
        <v>0</v>
      </c>
      <c r="Q146" s="115"/>
      <c r="R146" s="115"/>
      <c r="S146" s="115"/>
      <c r="T146" s="119">
        <v>0</v>
      </c>
      <c r="U146" s="119"/>
      <c r="V146" s="27"/>
    </row>
    <row r="147" spans="1:22" s="20" customFormat="1" ht="19.5" customHeight="1">
      <c r="A147" s="86" t="s">
        <v>109</v>
      </c>
      <c r="B147" s="87"/>
      <c r="C147" s="87"/>
      <c r="D147" s="87"/>
      <c r="E147" s="120">
        <f>E142+E146</f>
        <v>-150886709220</v>
      </c>
      <c r="F147" s="121"/>
      <c r="G147" s="121"/>
      <c r="H147" s="121"/>
      <c r="I147" s="121"/>
      <c r="J147" s="122"/>
      <c r="K147" s="120">
        <f>K142+K146</f>
        <v>-136941604274</v>
      </c>
      <c r="L147" s="121"/>
      <c r="M147" s="121"/>
      <c r="N147" s="121"/>
      <c r="O147" s="122"/>
      <c r="P147" s="123">
        <f t="shared" si="2"/>
        <v>13945104946</v>
      </c>
      <c r="Q147" s="123"/>
      <c r="R147" s="123"/>
      <c r="S147" s="123"/>
      <c r="T147" s="114">
        <f>K147/E147*100</f>
        <v>90.757897088425878</v>
      </c>
      <c r="U147" s="114"/>
      <c r="V147" s="27"/>
    </row>
    <row r="148" spans="1:22" s="20" customFormat="1" ht="2.85" customHeight="1">
      <c r="A148" s="91"/>
      <c r="B148" s="91"/>
      <c r="C148" s="91"/>
      <c r="D148" s="91"/>
      <c r="E148" s="124"/>
      <c r="F148" s="124"/>
      <c r="G148" s="124"/>
      <c r="H148" s="124"/>
      <c r="I148" s="124"/>
      <c r="J148" s="124"/>
      <c r="K148" s="124"/>
      <c r="L148" s="124"/>
      <c r="M148" s="124"/>
      <c r="N148" s="124"/>
      <c r="O148" s="124"/>
      <c r="P148" s="124"/>
      <c r="Q148" s="124"/>
      <c r="R148" s="124"/>
      <c r="S148" s="124"/>
      <c r="T148" s="124"/>
      <c r="U148" s="124"/>
      <c r="V148" s="27"/>
    </row>
    <row r="149" spans="1:22" s="20" customFormat="1" ht="28.35" customHeight="1">
      <c r="A149" s="91"/>
      <c r="B149" s="91"/>
      <c r="C149" s="91"/>
      <c r="D149" s="91"/>
      <c r="E149" s="124"/>
      <c r="F149" s="124"/>
      <c r="G149" s="124"/>
      <c r="H149" s="124"/>
      <c r="I149" s="124"/>
      <c r="J149" s="124"/>
      <c r="K149" s="124"/>
      <c r="L149" s="124"/>
      <c r="M149" s="124"/>
      <c r="N149" s="124"/>
      <c r="O149" s="124"/>
      <c r="P149" s="124"/>
      <c r="Q149" s="124"/>
      <c r="R149" s="124"/>
      <c r="S149" s="124"/>
      <c r="T149" s="124"/>
      <c r="U149" s="124"/>
      <c r="V149" s="27"/>
    </row>
    <row r="150" spans="1:22" s="20" customFormat="1" ht="23.25" customHeight="1">
      <c r="A150" s="18"/>
      <c r="C150" s="92" t="s">
        <v>110</v>
      </c>
      <c r="D150" s="92"/>
      <c r="E150" s="92"/>
      <c r="F150" s="92"/>
      <c r="G150" s="92"/>
      <c r="H150" s="92"/>
      <c r="I150" s="92"/>
      <c r="J150" s="93"/>
      <c r="K150" s="93"/>
      <c r="L150" s="93"/>
      <c r="M150" s="93"/>
      <c r="N150" s="93"/>
      <c r="O150" s="93"/>
      <c r="P150" s="93"/>
      <c r="Q150" s="93"/>
      <c r="R150" s="93"/>
      <c r="S150" s="93"/>
      <c r="T150" s="93"/>
      <c r="U150" s="93"/>
      <c r="V150" s="27"/>
    </row>
    <row r="151" spans="1:22" s="20" customFormat="1" ht="64.5" customHeight="1">
      <c r="A151" s="18"/>
      <c r="B151" s="92"/>
      <c r="C151" s="34" t="s">
        <v>111</v>
      </c>
      <c r="D151" s="16" t="str">
        <f>"Pendapatan Tahun Anggaran "&amp;'[1]2.ISIAN DATA SKPD'!D11&amp;" dapat terealisasi sebesar Rp. "&amp;FIXED(K140)&amp;" atau "&amp;FIXED(T140)&amp;"% dari anggaran pendapatan yang telah ditetapkan sebesar Rp. "&amp;FIXED(E140)&amp;" atau lebih  dari anggaran sebesar Rp."&amp;FIXED(P140)&amp;"."</f>
        <v>Pendapatan Tahun Anggaran 2017 dapat terealisasi sebesar Rp. 534,830,700.00 atau 184.42% dari anggaran pendapatan yang telah ditetapkan sebesar Rp. 290,000,000.00 atau lebih  dari anggaran sebesar Rp.244,830,700.00.</v>
      </c>
      <c r="E151" s="16"/>
      <c r="F151" s="16"/>
      <c r="G151" s="16"/>
      <c r="H151" s="16"/>
      <c r="I151" s="16"/>
      <c r="J151" s="16"/>
      <c r="K151" s="16"/>
      <c r="L151" s="16"/>
      <c r="M151" s="16"/>
      <c r="N151" s="16"/>
      <c r="O151" s="16"/>
      <c r="P151" s="16"/>
      <c r="Q151" s="16"/>
      <c r="R151" s="16"/>
      <c r="S151" s="16"/>
      <c r="T151" s="16"/>
      <c r="U151" s="16"/>
      <c r="V151" s="27"/>
    </row>
    <row r="152" spans="1:22" s="20" customFormat="1" ht="61.5" customHeight="1">
      <c r="A152" s="18"/>
      <c r="B152" s="92"/>
      <c r="C152" s="125" t="s">
        <v>112</v>
      </c>
      <c r="D152" s="16" t="str">
        <f>"Belanja Tahun Anggaran "&amp;'[1]2.ISIAN DATA SKPD'!D11&amp;" dapat terealisasi sebesar Rp. "&amp;FIXED(K141)&amp;" atau "&amp;FIXED(T141)&amp;"% dari anggaran belanja yang telah ditetapkan sebesar Rp. "&amp;FIXED(E141)&amp;" atau kurang dari anggaran sebesar Rp."&amp;FIXED(P141)&amp;"."</f>
        <v>Belanja Tahun Anggaran 2017 dapat terealisasi sebesar Rp. 137,476,434,974.00 atau 90.94% dari anggaran belanja yang telah ditetapkan sebesar Rp. 151,176,709,220.00 atau kurang dari anggaran sebesar Rp.-13,700,274,246.00.</v>
      </c>
      <c r="E152" s="16"/>
      <c r="F152" s="16"/>
      <c r="G152" s="16"/>
      <c r="H152" s="16"/>
      <c r="I152" s="16"/>
      <c r="J152" s="16"/>
      <c r="K152" s="16"/>
      <c r="L152" s="16"/>
      <c r="M152" s="16"/>
      <c r="N152" s="16"/>
      <c r="O152" s="16"/>
      <c r="P152" s="16"/>
      <c r="Q152" s="16"/>
      <c r="R152" s="16"/>
      <c r="S152" s="16"/>
      <c r="T152" s="16"/>
      <c r="U152" s="16"/>
      <c r="V152" s="27"/>
    </row>
    <row r="153" spans="1:22" s="20" customFormat="1" ht="49.5" customHeight="1">
      <c r="A153" s="18"/>
      <c r="B153" s="92"/>
      <c r="C153" s="125" t="s">
        <v>113</v>
      </c>
      <c r="D153" s="16" t="str">
        <f>"Surplus/(defisit) anggaran untuk periode yang berakhir pada "&amp;'[1]2.ISIAN DATA SKPD'!D10 &amp;" adalah sebesar Rp. "&amp;FIXED(K142) &amp;" yang diperoleh dari realisasi pendapatan dikurangi realisasi belanja."</f>
        <v>Surplus/(defisit) anggaran untuk periode yang berakhir pada 31 Desember 2017 adalah sebesar Rp. -136,941,604,274.00 yang diperoleh dari realisasi pendapatan dikurangi realisasi belanja.</v>
      </c>
      <c r="E153" s="16"/>
      <c r="F153" s="16"/>
      <c r="G153" s="16"/>
      <c r="H153" s="16"/>
      <c r="I153" s="16"/>
      <c r="J153" s="16"/>
      <c r="K153" s="16"/>
      <c r="L153" s="16"/>
      <c r="M153" s="16"/>
      <c r="N153" s="16"/>
      <c r="O153" s="16"/>
      <c r="P153" s="16"/>
      <c r="Q153" s="16"/>
      <c r="R153" s="16"/>
      <c r="S153" s="16"/>
      <c r="T153" s="16"/>
      <c r="U153" s="16"/>
      <c r="V153" s="27"/>
    </row>
    <row r="154" spans="1:22" s="20" customFormat="1" ht="61.5" customHeight="1">
      <c r="A154" s="18"/>
      <c r="B154" s="92"/>
      <c r="C154" s="125" t="s">
        <v>114</v>
      </c>
      <c r="D154" s="16" t="str">
        <f>"Pembiayaan Netto untuk periode yang berakhir pada "&amp;'[1]2.ISIAN DATA SKPD'!D9 &amp;" adalah sebesar Rp. "&amp;FIXED(K146) &amp;" atau mencapai  "&amp;FIXED(T146)&amp;"% dari anggaran yang ditetapkan sebesar Rp. "&amp;FIXED(E146)&amp;"."</f>
        <v>Pembiayaan Netto untuk periode yang berakhir pada 31 Desember 2016 adalah sebesar Rp. 0.00 atau mencapai  0.00% dari anggaran yang ditetapkan sebesar Rp. 0.00.</v>
      </c>
      <c r="E154" s="16"/>
      <c r="F154" s="16"/>
      <c r="G154" s="16"/>
      <c r="H154" s="16"/>
      <c r="I154" s="16"/>
      <c r="J154" s="16"/>
      <c r="K154" s="16"/>
      <c r="L154" s="16"/>
      <c r="M154" s="16"/>
      <c r="N154" s="16"/>
      <c r="O154" s="16"/>
      <c r="P154" s="16"/>
      <c r="Q154" s="16"/>
      <c r="R154" s="16"/>
      <c r="S154" s="16"/>
      <c r="T154" s="16"/>
      <c r="U154" s="16"/>
      <c r="V154" s="27"/>
    </row>
    <row r="155" spans="1:22" s="20" customFormat="1" ht="46.5" customHeight="1">
      <c r="A155" s="18"/>
      <c r="B155" s="92"/>
      <c r="C155" s="125" t="s">
        <v>115</v>
      </c>
      <c r="D155" s="16" t="str">
        <f>"SILPA untuk periode yang berakhir pada "&amp;'[1]2.ISIAN DATA SKPD'!D10 &amp;" mencapai sebesar Rp. "&amp;FIXED(K147) &amp;" naik sebesar Rp. "&amp;FIXED(P147)&amp;" dari tahun anggaran 2016 atau "&amp;FIXED(T147)&amp;"%."</f>
        <v>SILPA untuk periode yang berakhir pada 31 Desember 2017 mencapai sebesar Rp. -136,941,604,274.00 naik sebesar Rp. 13,945,104,946.00 dari tahun anggaran 2016 atau 90.76%.</v>
      </c>
      <c r="E155" s="16"/>
      <c r="F155" s="16"/>
      <c r="G155" s="16"/>
      <c r="H155" s="16"/>
      <c r="I155" s="16"/>
      <c r="J155" s="16"/>
      <c r="K155" s="16"/>
      <c r="L155" s="16"/>
      <c r="M155" s="16"/>
      <c r="N155" s="16"/>
      <c r="O155" s="16"/>
      <c r="P155" s="16"/>
      <c r="Q155" s="16"/>
      <c r="R155" s="16"/>
      <c r="S155" s="16"/>
      <c r="T155" s="16"/>
      <c r="U155" s="16"/>
      <c r="V155" s="27"/>
    </row>
    <row r="156" spans="1:22" s="20" customFormat="1" ht="12.75" customHeight="1">
      <c r="A156" s="18"/>
      <c r="B156" s="125"/>
      <c r="C156" s="125"/>
      <c r="D156" s="125"/>
      <c r="E156" s="125"/>
      <c r="F156" s="125"/>
      <c r="G156" s="125"/>
      <c r="H156" s="125"/>
      <c r="I156" s="125"/>
      <c r="J156" s="125"/>
      <c r="K156" s="125"/>
      <c r="L156" s="126"/>
      <c r="M156" s="126"/>
      <c r="N156" s="126"/>
      <c r="O156" s="126"/>
      <c r="P156" s="126"/>
      <c r="Q156" s="126"/>
      <c r="R156" s="126"/>
      <c r="S156" s="126"/>
      <c r="T156" s="126"/>
      <c r="U156" s="126"/>
      <c r="V156" s="27"/>
    </row>
    <row r="157" spans="1:22" s="20" customFormat="1" ht="16.5" customHeight="1">
      <c r="A157" s="18"/>
      <c r="B157" s="9" t="str">
        <f>"2.1.2. Realisasi TA "&amp;'[1]2.ISIAN DATA SKPD'!D11&amp;" Dibandingkan Dengan Realisasi TA "&amp;'[1]2.ISIAN DATA SKPD'!D12&amp;""</f>
        <v>2.1.2. Realisasi TA 2017 Dibandingkan Dengan Realisasi TA 2016</v>
      </c>
      <c r="C157" s="127"/>
      <c r="D157" s="127"/>
      <c r="E157" s="127"/>
      <c r="F157" s="127"/>
      <c r="G157" s="127"/>
      <c r="H157" s="127"/>
      <c r="I157" s="127"/>
      <c r="J157" s="127"/>
      <c r="K157" s="127"/>
      <c r="L157" s="128"/>
      <c r="M157" s="128"/>
      <c r="N157" s="128"/>
      <c r="O157" s="128"/>
      <c r="P157" s="128"/>
      <c r="Q157" s="128"/>
      <c r="R157" s="128"/>
      <c r="S157" s="128"/>
      <c r="T157" s="128"/>
      <c r="U157" s="128"/>
      <c r="V157" s="27"/>
    </row>
    <row r="158" spans="1:22" s="20" customFormat="1" ht="33.75" customHeight="1">
      <c r="A158" s="18"/>
      <c r="B158" s="12"/>
      <c r="C158" s="129" t="str">
        <f>"Perbandingan realisasi Tahun Anggaran "&amp;'[1]2.ISIAN DATA SKPD'!D11&amp;" dengan realisasi Tahun Anggaran "&amp;'[1]2.ISIAN DATA SKPD'!D12&amp;" sebagaimana pada tabel berikut :"</f>
        <v>Perbandingan realisasi Tahun Anggaran 2017 dengan realisasi Tahun Anggaran 2016 sebagaimana pada tabel berikut :</v>
      </c>
      <c r="D158" s="129"/>
      <c r="E158" s="129"/>
      <c r="F158" s="129"/>
      <c r="G158" s="129"/>
      <c r="H158" s="129"/>
      <c r="I158" s="129"/>
      <c r="J158" s="129"/>
      <c r="K158" s="129"/>
      <c r="L158" s="129"/>
      <c r="M158" s="129"/>
      <c r="N158" s="129"/>
      <c r="O158" s="129"/>
      <c r="P158" s="129"/>
      <c r="Q158" s="129"/>
      <c r="R158" s="129"/>
      <c r="S158" s="129"/>
      <c r="T158" s="129"/>
      <c r="U158" s="129"/>
      <c r="V158" s="27"/>
    </row>
    <row r="159" spans="1:22" s="20" customFormat="1" ht="15" customHeight="1">
      <c r="A159" s="18"/>
      <c r="B159" s="125"/>
      <c r="C159" s="130"/>
      <c r="D159" s="131"/>
      <c r="E159" s="131"/>
      <c r="F159" s="131"/>
      <c r="G159" s="131"/>
      <c r="H159" s="131"/>
      <c r="I159" s="131"/>
      <c r="J159" s="131"/>
      <c r="K159" s="131"/>
      <c r="L159" s="131"/>
      <c r="M159" s="131"/>
      <c r="N159" s="131"/>
      <c r="O159" s="131"/>
      <c r="P159" s="131"/>
      <c r="Q159" s="131"/>
      <c r="R159" s="131"/>
      <c r="S159" s="131"/>
      <c r="T159" s="131"/>
      <c r="U159" s="131"/>
      <c r="V159" s="27"/>
    </row>
    <row r="160" spans="1:22" s="20" customFormat="1" ht="25.5" customHeight="1">
      <c r="A160" s="52" t="s">
        <v>84</v>
      </c>
      <c r="B160" s="53"/>
      <c r="C160" s="53"/>
      <c r="D160" s="54"/>
      <c r="E160" s="55" t="s">
        <v>116</v>
      </c>
      <c r="F160" s="56"/>
      <c r="G160" s="56"/>
      <c r="H160" s="56"/>
      <c r="I160" s="56"/>
      <c r="J160" s="57"/>
      <c r="K160" s="58" t="s">
        <v>117</v>
      </c>
      <c r="L160" s="59"/>
      <c r="M160" s="59"/>
      <c r="N160" s="59"/>
      <c r="O160" s="60"/>
      <c r="P160" s="132" t="s">
        <v>87</v>
      </c>
      <c r="Q160" s="132"/>
      <c r="R160" s="132"/>
      <c r="S160" s="132"/>
      <c r="T160" s="132" t="s">
        <v>118</v>
      </c>
      <c r="U160" s="132"/>
      <c r="V160" s="27"/>
    </row>
    <row r="161" spans="1:38" s="20" customFormat="1" ht="16.5" customHeight="1">
      <c r="A161" s="70" t="s">
        <v>103</v>
      </c>
      <c r="B161" s="72"/>
      <c r="C161" s="72"/>
      <c r="D161" s="72"/>
      <c r="E161" s="100"/>
      <c r="F161" s="101"/>
      <c r="G161" s="101"/>
      <c r="H161" s="101"/>
      <c r="I161" s="101"/>
      <c r="J161" s="102"/>
      <c r="K161" s="103"/>
      <c r="L161" s="104"/>
      <c r="M161" s="104"/>
      <c r="N161" s="104"/>
      <c r="O161" s="105"/>
      <c r="P161" s="133"/>
      <c r="Q161" s="133"/>
      <c r="R161" s="133"/>
      <c r="S161" s="133"/>
      <c r="T161" s="132"/>
      <c r="U161" s="132"/>
      <c r="V161" s="27"/>
    </row>
    <row r="162" spans="1:38" s="20" customFormat="1" ht="16.5" customHeight="1">
      <c r="A162" s="79" t="s">
        <v>88</v>
      </c>
      <c r="C162" s="80"/>
      <c r="D162" s="80"/>
      <c r="E162" s="134">
        <f>K140</f>
        <v>534830700</v>
      </c>
      <c r="F162" s="135"/>
      <c r="G162" s="135"/>
      <c r="H162" s="135"/>
      <c r="I162" s="135"/>
      <c r="J162" s="136"/>
      <c r="K162" s="137">
        <f>'[1]3.LRA'!I18</f>
        <v>1043240650</v>
      </c>
      <c r="L162" s="138"/>
      <c r="M162" s="138"/>
      <c r="N162" s="138"/>
      <c r="O162" s="139"/>
      <c r="P162" s="115">
        <f>E162-K162</f>
        <v>-508409950</v>
      </c>
      <c r="Q162" s="115"/>
      <c r="R162" s="115"/>
      <c r="S162" s="115"/>
      <c r="T162" s="140">
        <f>(E162-K162)/K162*100</f>
        <v>-48.733717383424427</v>
      </c>
      <c r="U162" s="114"/>
      <c r="V162" s="141"/>
      <c r="W162" s="141"/>
      <c r="X162" s="141"/>
      <c r="Y162" s="141"/>
      <c r="Z162" s="141"/>
    </row>
    <row r="163" spans="1:38" s="20" customFormat="1" ht="16.5" customHeight="1">
      <c r="A163" s="84" t="s">
        <v>93</v>
      </c>
      <c r="B163" s="71"/>
      <c r="C163" s="85"/>
      <c r="D163" s="85"/>
      <c r="E163" s="134">
        <f>K141</f>
        <v>137476434974</v>
      </c>
      <c r="F163" s="135"/>
      <c r="G163" s="135"/>
      <c r="H163" s="135"/>
      <c r="I163" s="135"/>
      <c r="J163" s="136"/>
      <c r="K163" s="137">
        <f>'[1]3.LRA'!I39</f>
        <v>155046108602</v>
      </c>
      <c r="L163" s="138"/>
      <c r="M163" s="138"/>
      <c r="N163" s="138"/>
      <c r="O163" s="139"/>
      <c r="P163" s="115">
        <f>E163-K163</f>
        <v>-17569673628</v>
      </c>
      <c r="Q163" s="115"/>
      <c r="R163" s="115"/>
      <c r="S163" s="115"/>
      <c r="T163" s="140">
        <f t="shared" ref="T163:T169" si="3">(E163-K163)/K163*100</f>
        <v>-11.33190235241632</v>
      </c>
      <c r="U163" s="114"/>
      <c r="V163" s="141"/>
      <c r="W163" s="141"/>
      <c r="X163" s="141"/>
      <c r="Y163" s="141"/>
      <c r="Z163" s="141"/>
    </row>
    <row r="164" spans="1:38" s="20" customFormat="1" ht="16.5" customHeight="1">
      <c r="A164" s="86" t="s">
        <v>104</v>
      </c>
      <c r="B164" s="87"/>
      <c r="C164" s="87"/>
      <c r="D164" s="87"/>
      <c r="E164" s="142">
        <f>E162-E163</f>
        <v>-136941604274</v>
      </c>
      <c r="F164" s="143"/>
      <c r="G164" s="143"/>
      <c r="H164" s="143"/>
      <c r="I164" s="143"/>
      <c r="J164" s="144"/>
      <c r="K164" s="142">
        <f>K162-K163</f>
        <v>-154002867952</v>
      </c>
      <c r="L164" s="143"/>
      <c r="M164" s="143"/>
      <c r="N164" s="143"/>
      <c r="O164" s="144"/>
      <c r="P164" s="115">
        <f>P162-P163</f>
        <v>17061263678</v>
      </c>
      <c r="Q164" s="115"/>
      <c r="R164" s="115"/>
      <c r="S164" s="115"/>
      <c r="T164" s="140">
        <f t="shared" si="3"/>
        <v>-11.078536331750456</v>
      </c>
      <c r="U164" s="114"/>
      <c r="V164" s="27"/>
    </row>
    <row r="165" spans="1:38" s="20" customFormat="1" ht="16.5" customHeight="1">
      <c r="A165" s="86" t="s">
        <v>105</v>
      </c>
      <c r="B165" s="71"/>
      <c r="C165" s="90"/>
      <c r="D165" s="90"/>
      <c r="E165" s="145"/>
      <c r="F165" s="146"/>
      <c r="G165" s="146"/>
      <c r="H165" s="146"/>
      <c r="I165" s="146"/>
      <c r="J165" s="147"/>
      <c r="K165" s="137"/>
      <c r="L165" s="138"/>
      <c r="M165" s="138"/>
      <c r="N165" s="138"/>
      <c r="O165" s="139"/>
      <c r="P165" s="115"/>
      <c r="Q165" s="115"/>
      <c r="R165" s="115"/>
      <c r="S165" s="115"/>
      <c r="T165" s="140"/>
      <c r="U165" s="114"/>
      <c r="V165" s="27"/>
    </row>
    <row r="166" spans="1:38" s="20" customFormat="1" ht="16.5" customHeight="1">
      <c r="A166" s="84" t="s">
        <v>106</v>
      </c>
      <c r="B166" s="71"/>
      <c r="C166" s="90"/>
      <c r="D166" s="90"/>
      <c r="E166" s="134">
        <f>K144</f>
        <v>0</v>
      </c>
      <c r="F166" s="135"/>
      <c r="G166" s="135"/>
      <c r="H166" s="135"/>
      <c r="I166" s="135"/>
      <c r="J166" s="136"/>
      <c r="K166" s="137">
        <f>'[1]3.LRA'!I110</f>
        <v>0</v>
      </c>
      <c r="L166" s="138"/>
      <c r="M166" s="138"/>
      <c r="N166" s="138"/>
      <c r="O166" s="139"/>
      <c r="P166" s="115">
        <f>E166-K166</f>
        <v>0</v>
      </c>
      <c r="Q166" s="115"/>
      <c r="R166" s="115"/>
      <c r="S166" s="115"/>
      <c r="T166" s="140">
        <v>0</v>
      </c>
      <c r="U166" s="114"/>
      <c r="V166" s="27"/>
    </row>
    <row r="167" spans="1:38" s="20" customFormat="1" ht="16.5" customHeight="1">
      <c r="A167" s="84" t="s">
        <v>107</v>
      </c>
      <c r="B167" s="71"/>
      <c r="C167" s="90"/>
      <c r="D167" s="90"/>
      <c r="E167" s="134">
        <f>K145</f>
        <v>0</v>
      </c>
      <c r="F167" s="135"/>
      <c r="G167" s="135"/>
      <c r="H167" s="135"/>
      <c r="I167" s="135"/>
      <c r="J167" s="136"/>
      <c r="K167" s="137">
        <f>'[1]3.LRA'!I116</f>
        <v>0</v>
      </c>
      <c r="L167" s="138"/>
      <c r="M167" s="138"/>
      <c r="N167" s="138"/>
      <c r="O167" s="139"/>
      <c r="P167" s="115">
        <f>E167-K167</f>
        <v>0</v>
      </c>
      <c r="Q167" s="115"/>
      <c r="R167" s="115"/>
      <c r="S167" s="115"/>
      <c r="T167" s="140">
        <v>0</v>
      </c>
      <c r="U167" s="114"/>
      <c r="V167" s="27"/>
    </row>
    <row r="168" spans="1:38" s="20" customFormat="1" ht="16.5" customHeight="1">
      <c r="A168" s="86" t="s">
        <v>108</v>
      </c>
      <c r="B168" s="87"/>
      <c r="C168" s="87"/>
      <c r="D168" s="87"/>
      <c r="E168" s="142">
        <f>E166-E167</f>
        <v>0</v>
      </c>
      <c r="F168" s="143"/>
      <c r="G168" s="143"/>
      <c r="H168" s="143"/>
      <c r="I168" s="143"/>
      <c r="J168" s="144"/>
      <c r="K168" s="142">
        <f>K166-K167</f>
        <v>0</v>
      </c>
      <c r="L168" s="143"/>
      <c r="M168" s="143"/>
      <c r="N168" s="143"/>
      <c r="O168" s="144"/>
      <c r="P168" s="115">
        <f>P166-P167</f>
        <v>0</v>
      </c>
      <c r="Q168" s="115"/>
      <c r="R168" s="115"/>
      <c r="S168" s="115"/>
      <c r="T168" s="140">
        <v>0</v>
      </c>
      <c r="U168" s="114"/>
      <c r="V168" s="27"/>
    </row>
    <row r="169" spans="1:38" s="20" customFormat="1" ht="16.5" customHeight="1">
      <c r="A169" s="86" t="s">
        <v>109</v>
      </c>
      <c r="B169" s="87"/>
      <c r="C169" s="87"/>
      <c r="D169" s="87"/>
      <c r="E169" s="148">
        <f>E164+E168</f>
        <v>-136941604274</v>
      </c>
      <c r="F169" s="149"/>
      <c r="G169" s="149"/>
      <c r="H169" s="149"/>
      <c r="I169" s="149"/>
      <c r="J169" s="150"/>
      <c r="K169" s="148">
        <f>K164+K168</f>
        <v>-154002867952</v>
      </c>
      <c r="L169" s="149"/>
      <c r="M169" s="149"/>
      <c r="N169" s="149"/>
      <c r="O169" s="150"/>
      <c r="P169" s="123">
        <f>P164+Q168</f>
        <v>17061263678</v>
      </c>
      <c r="Q169" s="123"/>
      <c r="R169" s="123"/>
      <c r="S169" s="123"/>
      <c r="T169" s="140">
        <f t="shared" si="3"/>
        <v>-11.078536331750456</v>
      </c>
      <c r="U169" s="114"/>
      <c r="V169" s="27"/>
    </row>
    <row r="170" spans="1:38" s="20" customFormat="1" ht="21" customHeight="1">
      <c r="A170" s="18"/>
      <c r="B170" s="125"/>
      <c r="C170" s="125"/>
      <c r="D170" s="125"/>
      <c r="E170" s="125"/>
      <c r="F170" s="125"/>
      <c r="G170" s="125"/>
      <c r="H170" s="125"/>
      <c r="I170" s="125"/>
      <c r="J170" s="125"/>
      <c r="K170" s="125"/>
      <c r="L170" s="126"/>
      <c r="M170" s="126"/>
      <c r="N170" s="126"/>
      <c r="O170" s="126"/>
      <c r="P170" s="126"/>
      <c r="Q170" s="126"/>
      <c r="R170" s="126"/>
      <c r="S170" s="126"/>
      <c r="T170" s="126"/>
      <c r="U170" s="126"/>
      <c r="V170" s="27"/>
    </row>
    <row r="171" spans="1:38" s="20" customFormat="1" ht="54" customHeight="1">
      <c r="A171" s="18"/>
      <c r="B171" s="125"/>
      <c r="C171" s="125" t="s">
        <v>119</v>
      </c>
      <c r="D171" s="16" t="str">
        <f>"Realisasi Pendapatan Tahun Anggaran "&amp;'[1]2.ISIAN DATA SKPD'!D11&amp;" mengalami peningkatan/penurunan sebesar "&amp;FIXED(T162)&amp;"% dari Realisasi Pendapatan Tahun Anggaran "&amp;'[1]2.ISIAN DATA SKPD'!D12&amp;"."</f>
        <v>Realisasi Pendapatan Tahun Anggaran 2017 mengalami peningkatan/penurunan sebesar -48.73% dari Realisasi Pendapatan Tahun Anggaran 2016.</v>
      </c>
      <c r="E171" s="16"/>
      <c r="F171" s="16"/>
      <c r="G171" s="16"/>
      <c r="H171" s="16"/>
      <c r="I171" s="16"/>
      <c r="J171" s="16"/>
      <c r="K171" s="16"/>
      <c r="L171" s="16"/>
      <c r="M171" s="16"/>
      <c r="N171" s="16"/>
      <c r="O171" s="16"/>
      <c r="P171" s="16"/>
      <c r="Q171" s="16"/>
      <c r="R171" s="16"/>
      <c r="S171" s="16"/>
      <c r="T171" s="16"/>
      <c r="U171" s="16"/>
      <c r="V171" s="151"/>
      <c r="W171" s="151"/>
      <c r="X171" s="151"/>
      <c r="Y171" s="151"/>
      <c r="Z171" s="151"/>
      <c r="AA171" s="151"/>
      <c r="AB171" s="151"/>
      <c r="AC171" s="151"/>
      <c r="AD171" s="151"/>
      <c r="AE171" s="151"/>
      <c r="AF171" s="151"/>
      <c r="AG171" s="151"/>
      <c r="AH171" s="151"/>
      <c r="AI171" s="151"/>
      <c r="AJ171" s="151"/>
      <c r="AK171" s="151"/>
      <c r="AL171" s="151"/>
    </row>
    <row r="172" spans="1:38" s="20" customFormat="1" ht="60.75" customHeight="1">
      <c r="A172" s="18"/>
      <c r="B172" s="125"/>
      <c r="C172" s="125" t="s">
        <v>112</v>
      </c>
      <c r="D172" s="16" t="str">
        <f>"Realisasi Belanja Tahun Anggaran "&amp;'[1]2.ISIAN DATA SKPD'!D11&amp;" mengalami peningkatan/penurunan sebesar "&amp;FIXED(T163)&amp;"% dari Realisasi Belanja Tahun Anggaran "&amp;'[1]2.ISIAN DATA SKPD'!D12&amp;"."</f>
        <v>Realisasi Belanja Tahun Anggaran 2017 mengalami peningkatan/penurunan sebesar -11.33% dari Realisasi Belanja Tahun Anggaran 2016.</v>
      </c>
      <c r="E172" s="16"/>
      <c r="F172" s="16"/>
      <c r="G172" s="16"/>
      <c r="H172" s="16"/>
      <c r="I172" s="16"/>
      <c r="J172" s="16"/>
      <c r="K172" s="16"/>
      <c r="L172" s="16"/>
      <c r="M172" s="16"/>
      <c r="N172" s="16"/>
      <c r="O172" s="16"/>
      <c r="P172" s="16"/>
      <c r="Q172" s="16"/>
      <c r="R172" s="16"/>
      <c r="S172" s="16"/>
      <c r="T172" s="16"/>
      <c r="U172" s="16"/>
      <c r="V172" s="151"/>
      <c r="W172" s="151"/>
      <c r="X172" s="151"/>
      <c r="Y172" s="151"/>
      <c r="Z172" s="151"/>
      <c r="AA172" s="151"/>
      <c r="AB172" s="151"/>
      <c r="AC172" s="151"/>
      <c r="AD172" s="151"/>
      <c r="AE172" s="151"/>
      <c r="AF172" s="151"/>
      <c r="AG172" s="151"/>
      <c r="AH172" s="151"/>
      <c r="AI172" s="151"/>
      <c r="AJ172" s="151"/>
      <c r="AK172" s="151"/>
      <c r="AL172" s="151"/>
    </row>
    <row r="173" spans="1:38" s="20" customFormat="1" ht="57" customHeight="1">
      <c r="A173" s="18"/>
      <c r="B173" s="125"/>
      <c r="C173" s="125">
        <v>3</v>
      </c>
      <c r="D173" s="16" t="str">
        <f>"Pembiayaan Netto Tahun Anggaran "&amp;'[1]2.ISIAN DATA SKPD'!D11&amp;" mengalami peningkatan/penurunan sebesar "&amp;FIXED('[1]2.ISIAN DATA SKPD'!D11)&amp;"% dari Pembiayaan Netto Tahun Anggaran "&amp;"."</f>
        <v>Pembiayaan Netto Tahun Anggaran 2017 mengalami peningkatan/penurunan sebesar 2,017.00% dari Pembiayaan Netto Tahun Anggaran .</v>
      </c>
      <c r="E173" s="16"/>
      <c r="F173" s="16"/>
      <c r="G173" s="16"/>
      <c r="H173" s="16"/>
      <c r="I173" s="16"/>
      <c r="J173" s="16"/>
      <c r="K173" s="16"/>
      <c r="L173" s="16"/>
      <c r="M173" s="16"/>
      <c r="N173" s="16"/>
      <c r="O173" s="16"/>
      <c r="P173" s="16"/>
      <c r="Q173" s="16"/>
      <c r="R173" s="16"/>
      <c r="S173" s="16"/>
      <c r="T173" s="16"/>
      <c r="U173" s="16"/>
      <c r="V173" s="151"/>
      <c r="W173" s="151"/>
      <c r="X173" s="151"/>
      <c r="Y173" s="151"/>
      <c r="Z173" s="151"/>
      <c r="AA173" s="151"/>
      <c r="AB173" s="151"/>
      <c r="AC173" s="151"/>
      <c r="AD173" s="151"/>
      <c r="AE173" s="151"/>
      <c r="AF173" s="151"/>
      <c r="AG173" s="151"/>
      <c r="AH173" s="151"/>
      <c r="AI173" s="151"/>
      <c r="AJ173" s="151"/>
      <c r="AK173" s="151"/>
      <c r="AL173" s="151"/>
    </row>
    <row r="174" spans="1:38" s="20" customFormat="1" ht="39" customHeight="1">
      <c r="A174" s="18"/>
      <c r="B174" s="125"/>
      <c r="C174" s="125" t="s">
        <v>114</v>
      </c>
      <c r="D174" s="16" t="str">
        <f>"SILPA Tahun Anggaran "&amp;'[1]2.ISIAN DATA SKPD'!D11&amp;" mengalami peningkatan/ penurunan sebesar "&amp;FIXED(T169)&amp;"% dibandingkan SILPA Tahun Anggaran "&amp;'[1]2.ISIAN DATA SKPD'!D12&amp;"."</f>
        <v>SILPA Tahun Anggaran 2017 mengalami peningkatan/ penurunan sebesar -11.08% dibandingkan SILPA Tahun Anggaran 2016.</v>
      </c>
      <c r="E174" s="16"/>
      <c r="F174" s="16"/>
      <c r="G174" s="16"/>
      <c r="H174" s="16"/>
      <c r="I174" s="16"/>
      <c r="J174" s="16"/>
      <c r="K174" s="16"/>
      <c r="L174" s="16"/>
      <c r="M174" s="16"/>
      <c r="N174" s="16"/>
      <c r="O174" s="16"/>
      <c r="P174" s="16"/>
      <c r="Q174" s="16"/>
      <c r="R174" s="16"/>
      <c r="S174" s="16"/>
      <c r="T174" s="16"/>
      <c r="U174" s="16"/>
      <c r="V174" s="27"/>
    </row>
    <row r="175" spans="1:38" s="20" customFormat="1" ht="16.5" customHeight="1">
      <c r="A175" s="18"/>
      <c r="B175" s="125"/>
      <c r="C175" s="125"/>
      <c r="D175" s="125"/>
      <c r="E175" s="125"/>
      <c r="F175" s="125"/>
      <c r="G175" s="125"/>
      <c r="H175" s="125"/>
      <c r="I175" s="125"/>
      <c r="J175" s="125"/>
      <c r="K175" s="125"/>
      <c r="L175" s="126"/>
      <c r="M175" s="126"/>
      <c r="N175" s="126"/>
      <c r="O175" s="126"/>
      <c r="P175" s="126"/>
      <c r="Q175" s="126"/>
      <c r="R175" s="126"/>
      <c r="S175" s="126"/>
      <c r="T175" s="126"/>
      <c r="U175" s="126"/>
      <c r="V175" s="27"/>
    </row>
    <row r="176" spans="1:38" s="20" customFormat="1" ht="16.5" customHeight="1">
      <c r="A176" s="18"/>
      <c r="B176" s="9" t="s">
        <v>120</v>
      </c>
      <c r="C176" s="127"/>
      <c r="D176" s="127"/>
      <c r="E176" s="127"/>
      <c r="F176" s="127"/>
      <c r="G176" s="127"/>
      <c r="H176" s="127"/>
      <c r="I176" s="127"/>
      <c r="J176" s="127"/>
      <c r="K176" s="127"/>
      <c r="L176" s="128"/>
      <c r="M176" s="128"/>
      <c r="N176" s="128"/>
      <c r="O176" s="128"/>
      <c r="P176" s="128"/>
      <c r="Q176" s="128"/>
      <c r="R176" s="128"/>
      <c r="S176" s="128"/>
      <c r="T176" s="128"/>
      <c r="U176" s="128"/>
      <c r="V176" s="27"/>
    </row>
    <row r="177" spans="1:22" s="20" customFormat="1" ht="44.25" customHeight="1">
      <c r="A177" s="18"/>
      <c r="B177" s="125"/>
      <c r="C177" s="130" t="s">
        <v>119</v>
      </c>
      <c r="D177" s="152" t="s">
        <v>121</v>
      </c>
      <c r="E177" s="152"/>
      <c r="F177" s="152"/>
      <c r="G177" s="152"/>
      <c r="H177" s="152"/>
      <c r="I177" s="152"/>
      <c r="J177" s="152"/>
      <c r="K177" s="152"/>
      <c r="L177" s="152"/>
      <c r="M177" s="152"/>
      <c r="N177" s="152"/>
      <c r="O177" s="152"/>
      <c r="P177" s="152"/>
      <c r="Q177" s="152"/>
      <c r="R177" s="152"/>
      <c r="S177" s="152"/>
      <c r="T177" s="152"/>
      <c r="U177" s="152"/>
      <c r="V177" s="27"/>
    </row>
    <row r="178" spans="1:22" s="20" customFormat="1" ht="45.75" customHeight="1">
      <c r="A178" s="18"/>
      <c r="B178" s="125"/>
      <c r="C178" s="130" t="s">
        <v>112</v>
      </c>
      <c r="D178" s="152" t="s">
        <v>122</v>
      </c>
      <c r="E178" s="152"/>
      <c r="F178" s="152"/>
      <c r="G178" s="152"/>
      <c r="H178" s="152"/>
      <c r="I178" s="152"/>
      <c r="J178" s="152"/>
      <c r="K178" s="152"/>
      <c r="L178" s="152"/>
      <c r="M178" s="152"/>
      <c r="N178" s="152"/>
      <c r="O178" s="152"/>
      <c r="P178" s="152"/>
      <c r="Q178" s="152"/>
      <c r="R178" s="152"/>
      <c r="S178" s="152"/>
      <c r="T178" s="152"/>
      <c r="U178" s="152"/>
      <c r="V178" s="27"/>
    </row>
    <row r="179" spans="1:22" s="20" customFormat="1" ht="16.5" customHeight="1">
      <c r="A179" s="18"/>
      <c r="B179" s="125"/>
      <c r="C179" s="125"/>
      <c r="D179" s="125"/>
      <c r="E179" s="125"/>
      <c r="F179" s="125"/>
      <c r="G179" s="125"/>
      <c r="H179" s="125"/>
      <c r="I179" s="125"/>
      <c r="J179" s="125"/>
      <c r="K179" s="125"/>
      <c r="L179" s="126"/>
      <c r="M179" s="126"/>
      <c r="N179" s="126"/>
      <c r="O179" s="126"/>
      <c r="P179" s="126"/>
      <c r="Q179" s="126"/>
      <c r="R179" s="126"/>
      <c r="S179" s="126"/>
      <c r="T179" s="126"/>
      <c r="U179" s="126"/>
      <c r="V179" s="27"/>
    </row>
    <row r="180" spans="1:22" s="20" customFormat="1" ht="16.5" customHeight="1">
      <c r="A180" s="18"/>
      <c r="B180" s="125"/>
      <c r="C180" s="125"/>
      <c r="D180" s="125"/>
      <c r="E180" s="125"/>
      <c r="F180" s="125"/>
      <c r="G180" s="125"/>
      <c r="H180" s="125"/>
      <c r="I180" s="125"/>
      <c r="J180" s="125"/>
      <c r="K180" s="125"/>
      <c r="L180" s="126"/>
      <c r="M180" s="126"/>
      <c r="N180" s="126"/>
      <c r="O180" s="126"/>
      <c r="P180" s="126"/>
      <c r="Q180" s="126"/>
      <c r="R180" s="126"/>
      <c r="S180" s="126"/>
      <c r="T180" s="126"/>
      <c r="U180" s="126"/>
      <c r="V180" s="27"/>
    </row>
    <row r="181" spans="1:22" s="20" customFormat="1" ht="16.5" customHeight="1">
      <c r="A181" s="18"/>
      <c r="B181" s="125"/>
      <c r="C181" s="125"/>
      <c r="D181" s="125"/>
      <c r="E181" s="125"/>
      <c r="F181" s="125"/>
      <c r="G181" s="125"/>
      <c r="H181" s="125"/>
      <c r="I181" s="125"/>
      <c r="J181" s="125"/>
      <c r="K181" s="125"/>
      <c r="L181" s="126"/>
      <c r="M181" s="126"/>
      <c r="N181" s="126"/>
      <c r="O181" s="126"/>
      <c r="P181" s="126"/>
      <c r="Q181" s="126"/>
      <c r="R181" s="126"/>
      <c r="S181" s="126"/>
      <c r="T181" s="126"/>
      <c r="U181" s="126"/>
      <c r="V181" s="27"/>
    </row>
    <row r="182" spans="1:22" s="20" customFormat="1" ht="16.5" customHeight="1">
      <c r="A182" s="18"/>
      <c r="B182" s="125"/>
      <c r="C182" s="125"/>
      <c r="D182" s="125"/>
      <c r="E182" s="125"/>
      <c r="F182" s="125"/>
      <c r="G182" s="125"/>
      <c r="H182" s="125"/>
      <c r="I182" s="125"/>
      <c r="J182" s="125"/>
      <c r="K182" s="125"/>
      <c r="L182" s="126"/>
      <c r="M182" s="126"/>
      <c r="N182" s="126"/>
      <c r="O182" s="126"/>
      <c r="P182" s="126"/>
      <c r="Q182" s="126"/>
      <c r="R182" s="126"/>
      <c r="S182" s="126"/>
      <c r="T182" s="126"/>
      <c r="U182" s="126"/>
      <c r="V182" s="27"/>
    </row>
    <row r="183" spans="1:22" s="20" customFormat="1" ht="16.5" customHeight="1">
      <c r="A183" s="18"/>
      <c r="B183" s="125"/>
      <c r="C183" s="125"/>
      <c r="D183" s="125"/>
      <c r="E183" s="125"/>
      <c r="F183" s="125"/>
      <c r="G183" s="125"/>
      <c r="H183" s="125"/>
      <c r="I183" s="125"/>
      <c r="J183" s="125"/>
      <c r="K183" s="125"/>
      <c r="L183" s="126"/>
      <c r="M183" s="126"/>
      <c r="N183" s="126"/>
      <c r="O183" s="126"/>
      <c r="P183" s="126"/>
      <c r="Q183" s="126"/>
      <c r="R183" s="126"/>
      <c r="S183" s="126"/>
      <c r="T183" s="126"/>
      <c r="U183" s="126"/>
      <c r="V183" s="27"/>
    </row>
    <row r="184" spans="1:22" s="20" customFormat="1" ht="16.5" customHeight="1">
      <c r="A184" s="18"/>
      <c r="B184" s="125"/>
      <c r="C184" s="125"/>
      <c r="D184" s="125"/>
      <c r="E184" s="125"/>
      <c r="F184" s="125"/>
      <c r="G184" s="125"/>
      <c r="H184" s="125"/>
      <c r="I184" s="125"/>
      <c r="J184" s="125"/>
      <c r="K184" s="125"/>
      <c r="L184" s="126"/>
      <c r="M184" s="126"/>
      <c r="N184" s="126"/>
      <c r="O184" s="126"/>
      <c r="P184" s="126"/>
      <c r="Q184" s="126"/>
      <c r="R184" s="126"/>
      <c r="S184" s="126"/>
      <c r="T184" s="126"/>
      <c r="U184" s="126"/>
      <c r="V184" s="27"/>
    </row>
    <row r="185" spans="1:22" s="20" customFormat="1" ht="16.5" customHeight="1">
      <c r="A185" s="18"/>
      <c r="B185" s="125"/>
      <c r="C185" s="125"/>
      <c r="D185" s="125"/>
      <c r="E185" s="125"/>
      <c r="F185" s="125"/>
      <c r="G185" s="125"/>
      <c r="H185" s="125"/>
      <c r="I185" s="125"/>
      <c r="J185" s="125"/>
      <c r="K185" s="125"/>
      <c r="L185" s="126"/>
      <c r="M185" s="126"/>
      <c r="N185" s="126"/>
      <c r="O185" s="126"/>
      <c r="P185" s="126"/>
      <c r="Q185" s="126"/>
      <c r="R185" s="126"/>
      <c r="S185" s="126"/>
      <c r="T185" s="126"/>
      <c r="U185" s="126"/>
      <c r="V185" s="27"/>
    </row>
    <row r="186" spans="1:22" s="20" customFormat="1" ht="16.5" customHeight="1">
      <c r="A186" s="18"/>
      <c r="B186" s="125"/>
      <c r="C186" s="125"/>
      <c r="D186" s="125"/>
      <c r="E186" s="125"/>
      <c r="F186" s="125"/>
      <c r="G186" s="125"/>
      <c r="H186" s="125"/>
      <c r="I186" s="125"/>
      <c r="J186" s="125"/>
      <c r="K186" s="125"/>
      <c r="L186" s="126"/>
      <c r="M186" s="126"/>
      <c r="N186" s="126"/>
      <c r="O186" s="126"/>
      <c r="P186" s="126"/>
      <c r="Q186" s="126"/>
      <c r="R186" s="126"/>
      <c r="S186" s="126"/>
      <c r="T186" s="126"/>
      <c r="U186" s="126"/>
      <c r="V186" s="27"/>
    </row>
    <row r="187" spans="1:22" s="20" customFormat="1" ht="16.5" customHeight="1">
      <c r="A187" s="18"/>
      <c r="B187" s="125"/>
      <c r="C187" s="125"/>
      <c r="D187" s="125"/>
      <c r="E187" s="125"/>
      <c r="F187" s="125"/>
      <c r="G187" s="125"/>
      <c r="H187" s="125"/>
      <c r="I187" s="125"/>
      <c r="J187" s="125"/>
      <c r="K187" s="125"/>
      <c r="L187" s="126"/>
      <c r="M187" s="126"/>
      <c r="N187" s="126"/>
      <c r="O187" s="126"/>
      <c r="P187" s="126"/>
      <c r="Q187" s="126"/>
      <c r="R187" s="126"/>
      <c r="S187" s="126"/>
      <c r="T187" s="126"/>
      <c r="U187" s="126"/>
      <c r="V187" s="27"/>
    </row>
    <row r="188" spans="1:22" s="20" customFormat="1" ht="16.5" customHeight="1">
      <c r="A188" s="18"/>
      <c r="B188" s="125"/>
      <c r="C188" s="125"/>
      <c r="D188" s="125"/>
      <c r="E188" s="125"/>
      <c r="F188" s="125"/>
      <c r="G188" s="125"/>
      <c r="H188" s="125"/>
      <c r="I188" s="125"/>
      <c r="J188" s="125"/>
      <c r="K188" s="125"/>
      <c r="L188" s="126"/>
      <c r="M188" s="126"/>
      <c r="N188" s="126"/>
      <c r="O188" s="126"/>
      <c r="P188" s="126"/>
      <c r="Q188" s="126"/>
      <c r="R188" s="126"/>
      <c r="S188" s="126"/>
      <c r="T188" s="126"/>
      <c r="U188" s="126"/>
      <c r="V188" s="27"/>
    </row>
    <row r="189" spans="1:22" s="20" customFormat="1" ht="16.5" customHeight="1">
      <c r="A189" s="18"/>
      <c r="B189" s="125"/>
      <c r="C189" s="125"/>
      <c r="D189" s="125"/>
      <c r="E189" s="125"/>
      <c r="F189" s="125"/>
      <c r="G189" s="125"/>
      <c r="H189" s="125"/>
      <c r="I189" s="125"/>
      <c r="J189" s="125"/>
      <c r="K189" s="125"/>
      <c r="L189" s="126"/>
      <c r="M189" s="126"/>
      <c r="N189" s="126"/>
      <c r="O189" s="126"/>
      <c r="P189" s="126"/>
      <c r="Q189" s="126"/>
      <c r="R189" s="126"/>
      <c r="S189" s="126"/>
      <c r="T189" s="126"/>
      <c r="U189" s="126"/>
      <c r="V189" s="27"/>
    </row>
    <row r="190" spans="1:22" s="20" customFormat="1" ht="16.5" customHeight="1">
      <c r="A190" s="18"/>
      <c r="B190" s="125"/>
      <c r="C190" s="125"/>
      <c r="D190" s="125"/>
      <c r="E190" s="125"/>
      <c r="F190" s="125"/>
      <c r="G190" s="125"/>
      <c r="H190" s="125"/>
      <c r="I190" s="125"/>
      <c r="J190" s="125"/>
      <c r="K190" s="125"/>
      <c r="L190" s="126"/>
      <c r="M190" s="126"/>
      <c r="N190" s="126"/>
      <c r="O190" s="126"/>
      <c r="P190" s="126"/>
      <c r="Q190" s="126"/>
      <c r="R190" s="126"/>
      <c r="S190" s="126"/>
      <c r="T190" s="126"/>
      <c r="U190" s="126"/>
      <c r="V190" s="27"/>
    </row>
    <row r="191" spans="1:22" s="20" customFormat="1" ht="16.5" customHeight="1">
      <c r="A191" s="18"/>
      <c r="B191" s="125"/>
      <c r="C191" s="125"/>
      <c r="D191" s="125"/>
      <c r="E191" s="125"/>
      <c r="F191" s="125"/>
      <c r="G191" s="125"/>
      <c r="H191" s="125"/>
      <c r="I191" s="125"/>
      <c r="J191" s="125"/>
      <c r="K191" s="125"/>
      <c r="L191" s="126"/>
      <c r="M191" s="126"/>
      <c r="N191" s="126"/>
      <c r="O191" s="126"/>
      <c r="P191" s="126"/>
      <c r="Q191" s="126"/>
      <c r="R191" s="126"/>
      <c r="S191" s="126"/>
      <c r="T191" s="126"/>
      <c r="U191" s="126"/>
      <c r="V191" s="27"/>
    </row>
    <row r="192" spans="1:22" s="20" customFormat="1" ht="16.5" customHeight="1">
      <c r="A192" s="18"/>
      <c r="B192" s="125"/>
      <c r="C192" s="125"/>
      <c r="D192" s="125"/>
      <c r="E192" s="125"/>
      <c r="F192" s="125"/>
      <c r="G192" s="125"/>
      <c r="H192" s="125"/>
      <c r="I192" s="125"/>
      <c r="J192" s="125"/>
      <c r="K192" s="125"/>
      <c r="L192" s="126"/>
      <c r="M192" s="126"/>
      <c r="N192" s="126"/>
      <c r="O192" s="126"/>
      <c r="P192" s="126"/>
      <c r="Q192" s="126"/>
      <c r="R192" s="126"/>
      <c r="S192" s="126"/>
      <c r="T192" s="126"/>
      <c r="U192" s="126"/>
      <c r="V192" s="27"/>
    </row>
    <row r="193" spans="1:22" s="20" customFormat="1" ht="16.5" customHeight="1">
      <c r="A193" s="18"/>
      <c r="B193" s="125"/>
      <c r="C193" s="125"/>
      <c r="D193" s="125"/>
      <c r="E193" s="125"/>
      <c r="F193" s="125"/>
      <c r="G193" s="125"/>
      <c r="H193" s="125"/>
      <c r="I193" s="125"/>
      <c r="J193" s="125"/>
      <c r="K193" s="125"/>
      <c r="L193" s="126"/>
      <c r="M193" s="126"/>
      <c r="N193" s="126"/>
      <c r="O193" s="126"/>
      <c r="P193" s="126"/>
      <c r="Q193" s="126"/>
      <c r="R193" s="126"/>
      <c r="S193" s="126"/>
      <c r="T193" s="126"/>
      <c r="U193" s="126"/>
      <c r="V193" s="27"/>
    </row>
    <row r="194" spans="1:22" s="20" customFormat="1" ht="16.5" customHeight="1">
      <c r="A194" s="18"/>
      <c r="B194" s="125"/>
      <c r="C194" s="125"/>
      <c r="D194" s="125"/>
      <c r="E194" s="125"/>
      <c r="F194" s="125"/>
      <c r="G194" s="125"/>
      <c r="H194" s="125"/>
      <c r="I194" s="125"/>
      <c r="J194" s="125"/>
      <c r="K194" s="125"/>
      <c r="L194" s="126"/>
      <c r="M194" s="126"/>
      <c r="N194" s="126"/>
      <c r="O194" s="126"/>
      <c r="P194" s="126"/>
      <c r="Q194" s="126"/>
      <c r="R194" s="126"/>
      <c r="S194" s="126"/>
      <c r="T194" s="126"/>
      <c r="U194" s="126"/>
      <c r="V194" s="27"/>
    </row>
    <row r="195" spans="1:22" s="20" customFormat="1" ht="16.5" customHeight="1">
      <c r="A195" s="18"/>
      <c r="B195" s="125"/>
      <c r="C195" s="125"/>
      <c r="D195" s="125"/>
      <c r="E195" s="125"/>
      <c r="F195" s="125"/>
      <c r="G195" s="125"/>
      <c r="H195" s="125"/>
      <c r="I195" s="125"/>
      <c r="J195" s="125"/>
      <c r="K195" s="125"/>
      <c r="L195" s="126"/>
      <c r="M195" s="126"/>
      <c r="N195" s="126"/>
      <c r="O195" s="126"/>
      <c r="P195" s="126"/>
      <c r="Q195" s="126"/>
      <c r="R195" s="126"/>
      <c r="S195" s="126"/>
      <c r="T195" s="126"/>
      <c r="U195" s="126"/>
      <c r="V195" s="27"/>
    </row>
    <row r="196" spans="1:22" s="20" customFormat="1" ht="16.5" customHeight="1">
      <c r="A196" s="18"/>
      <c r="B196" s="125"/>
      <c r="C196" s="125"/>
      <c r="D196" s="125"/>
      <c r="E196" s="125"/>
      <c r="F196" s="125"/>
      <c r="G196" s="125"/>
      <c r="H196" s="125"/>
      <c r="I196" s="125"/>
      <c r="J196" s="125"/>
      <c r="K196" s="125"/>
      <c r="L196" s="126"/>
      <c r="M196" s="126"/>
      <c r="N196" s="126"/>
      <c r="O196" s="126"/>
      <c r="P196" s="126"/>
      <c r="Q196" s="126"/>
      <c r="R196" s="126"/>
      <c r="S196" s="126"/>
      <c r="T196" s="126"/>
      <c r="U196" s="126"/>
      <c r="V196" s="27"/>
    </row>
    <row r="197" spans="1:22" s="20" customFormat="1" ht="16.5" customHeight="1">
      <c r="A197" s="18"/>
      <c r="B197" s="125"/>
      <c r="C197" s="125"/>
      <c r="D197" s="125"/>
      <c r="E197" s="125"/>
      <c r="F197" s="125"/>
      <c r="G197" s="125"/>
      <c r="H197" s="125"/>
      <c r="I197" s="125"/>
      <c r="J197" s="125"/>
      <c r="K197" s="125"/>
      <c r="L197" s="126"/>
      <c r="M197" s="126"/>
      <c r="N197" s="126"/>
      <c r="O197" s="126"/>
      <c r="P197" s="126"/>
      <c r="Q197" s="126"/>
      <c r="R197" s="126"/>
      <c r="S197" s="126"/>
      <c r="T197" s="126"/>
      <c r="U197" s="126"/>
      <c r="V197" s="27"/>
    </row>
    <row r="198" spans="1:22" s="20" customFormat="1" ht="16.5" customHeight="1">
      <c r="A198" s="18"/>
      <c r="B198" s="125"/>
      <c r="C198" s="125"/>
      <c r="D198" s="125"/>
      <c r="E198" s="125"/>
      <c r="F198" s="125"/>
      <c r="G198" s="125"/>
      <c r="H198" s="125"/>
      <c r="I198" s="125"/>
      <c r="J198" s="125"/>
      <c r="K198" s="125"/>
      <c r="L198" s="126"/>
      <c r="M198" s="126"/>
      <c r="N198" s="126"/>
      <c r="O198" s="126"/>
      <c r="P198" s="126"/>
      <c r="Q198" s="126"/>
      <c r="R198" s="126"/>
      <c r="S198" s="126"/>
      <c r="T198" s="126"/>
      <c r="U198" s="126"/>
      <c r="V198" s="27"/>
    </row>
    <row r="199" spans="1:22" s="20" customFormat="1" ht="16.5" customHeight="1">
      <c r="A199" s="18"/>
      <c r="B199" s="125"/>
      <c r="C199" s="125"/>
      <c r="D199" s="125"/>
      <c r="E199" s="125"/>
      <c r="F199" s="125"/>
      <c r="G199" s="125"/>
      <c r="H199" s="125"/>
      <c r="I199" s="125"/>
      <c r="J199" s="125"/>
      <c r="K199" s="125"/>
      <c r="L199" s="126"/>
      <c r="M199" s="126"/>
      <c r="N199" s="126"/>
      <c r="O199" s="126"/>
      <c r="P199" s="126"/>
      <c r="Q199" s="126"/>
      <c r="R199" s="126"/>
      <c r="S199" s="126"/>
      <c r="T199" s="126"/>
      <c r="U199" s="126"/>
      <c r="V199" s="27"/>
    </row>
    <row r="200" spans="1:22" s="20" customFormat="1" ht="16.5" customHeight="1">
      <c r="A200" s="18"/>
      <c r="B200" s="125"/>
      <c r="C200" s="125"/>
      <c r="D200" s="125"/>
      <c r="E200" s="125"/>
      <c r="F200" s="125"/>
      <c r="G200" s="125"/>
      <c r="H200" s="125"/>
      <c r="I200" s="125"/>
      <c r="J200" s="125"/>
      <c r="K200" s="125"/>
      <c r="L200" s="126"/>
      <c r="M200" s="126"/>
      <c r="N200" s="126"/>
      <c r="O200" s="126"/>
      <c r="P200" s="126"/>
      <c r="Q200" s="126"/>
      <c r="R200" s="126"/>
      <c r="S200" s="126"/>
      <c r="T200" s="126"/>
      <c r="U200" s="126"/>
      <c r="V200" s="27"/>
    </row>
    <row r="201" spans="1:22" s="20" customFormat="1" ht="16.5" customHeight="1">
      <c r="A201" s="18"/>
      <c r="B201" s="125"/>
      <c r="C201" s="125"/>
      <c r="D201" s="125"/>
      <c r="E201" s="125"/>
      <c r="F201" s="125"/>
      <c r="G201" s="125"/>
      <c r="H201" s="125"/>
      <c r="I201" s="125"/>
      <c r="J201" s="125"/>
      <c r="K201" s="125"/>
      <c r="L201" s="126"/>
      <c r="M201" s="126"/>
      <c r="N201" s="126"/>
      <c r="O201" s="126"/>
      <c r="P201" s="126"/>
      <c r="Q201" s="126"/>
      <c r="R201" s="126"/>
      <c r="S201" s="126"/>
      <c r="T201" s="126"/>
      <c r="U201" s="126"/>
      <c r="V201" s="27"/>
    </row>
    <row r="202" spans="1:22" s="20" customFormat="1" ht="16.5" customHeight="1">
      <c r="A202" s="18"/>
      <c r="B202" s="125"/>
      <c r="C202" s="125"/>
      <c r="D202" s="125"/>
      <c r="E202" s="125"/>
      <c r="F202" s="125"/>
      <c r="G202" s="125"/>
      <c r="H202" s="125"/>
      <c r="I202" s="125"/>
      <c r="J202" s="125"/>
      <c r="K202" s="125"/>
      <c r="L202" s="126"/>
      <c r="M202" s="126"/>
      <c r="N202" s="126"/>
      <c r="O202" s="126"/>
      <c r="P202" s="126"/>
      <c r="Q202" s="126"/>
      <c r="R202" s="126"/>
      <c r="S202" s="126"/>
      <c r="T202" s="126"/>
      <c r="U202" s="126"/>
      <c r="V202" s="27"/>
    </row>
    <row r="203" spans="1:22" s="20" customFormat="1" ht="16.5" customHeight="1">
      <c r="A203" s="18"/>
      <c r="B203" s="125"/>
      <c r="C203" s="125"/>
      <c r="D203" s="125"/>
      <c r="E203" s="125"/>
      <c r="F203" s="125"/>
      <c r="G203" s="125"/>
      <c r="H203" s="125"/>
      <c r="I203" s="125"/>
      <c r="J203" s="125"/>
      <c r="K203" s="125"/>
      <c r="L203" s="126"/>
      <c r="M203" s="126"/>
      <c r="N203" s="126"/>
      <c r="O203" s="126"/>
      <c r="P203" s="126"/>
      <c r="Q203" s="126"/>
      <c r="R203" s="126"/>
      <c r="S203" s="126"/>
      <c r="T203" s="126"/>
      <c r="U203" s="126"/>
      <c r="V203" s="27"/>
    </row>
    <row r="204" spans="1:22" s="20" customFormat="1" ht="16.5" customHeight="1">
      <c r="A204" s="18"/>
      <c r="B204" s="125"/>
      <c r="C204" s="125"/>
      <c r="D204" s="125"/>
      <c r="E204" s="125"/>
      <c r="F204" s="125"/>
      <c r="G204" s="125"/>
      <c r="H204" s="125"/>
      <c r="I204" s="125"/>
      <c r="J204" s="125"/>
      <c r="K204" s="125"/>
      <c r="L204" s="126"/>
      <c r="M204" s="126"/>
      <c r="N204" s="126"/>
      <c r="O204" s="126"/>
      <c r="P204" s="126"/>
      <c r="Q204" s="126"/>
      <c r="R204" s="126"/>
      <c r="S204" s="126"/>
      <c r="T204" s="126"/>
      <c r="U204" s="126"/>
      <c r="V204" s="27"/>
    </row>
    <row r="205" spans="1:22" s="20" customFormat="1" ht="16.5" customHeight="1">
      <c r="A205" s="18"/>
      <c r="B205" s="125"/>
      <c r="C205" s="125"/>
      <c r="D205" s="125"/>
      <c r="E205" s="125"/>
      <c r="F205" s="125"/>
      <c r="G205" s="125"/>
      <c r="H205" s="125"/>
      <c r="I205" s="125"/>
      <c r="J205" s="125"/>
      <c r="K205" s="125"/>
      <c r="L205" s="126"/>
      <c r="M205" s="126"/>
      <c r="N205" s="126"/>
      <c r="O205" s="126"/>
      <c r="P205" s="126"/>
      <c r="Q205" s="126"/>
      <c r="R205" s="126"/>
      <c r="S205" s="126"/>
      <c r="T205" s="126"/>
      <c r="U205" s="126"/>
      <c r="V205" s="27"/>
    </row>
    <row r="206" spans="1:22" s="20" customFormat="1" ht="16.5" customHeight="1">
      <c r="A206" s="18"/>
      <c r="B206" s="125"/>
      <c r="C206" s="125"/>
      <c r="D206" s="125"/>
      <c r="E206" s="125"/>
      <c r="F206" s="125"/>
      <c r="G206" s="125"/>
      <c r="H206" s="125"/>
      <c r="I206" s="125"/>
      <c r="J206" s="125"/>
      <c r="K206" s="125"/>
      <c r="L206" s="126"/>
      <c r="M206" s="126"/>
      <c r="N206" s="126"/>
      <c r="O206" s="126"/>
      <c r="P206" s="126"/>
      <c r="Q206" s="126"/>
      <c r="R206" s="126"/>
      <c r="S206" s="126"/>
      <c r="T206" s="126"/>
      <c r="U206" s="126"/>
      <c r="V206" s="27"/>
    </row>
    <row r="207" spans="1:22" s="20" customFormat="1" ht="16.5" customHeight="1">
      <c r="A207" s="18"/>
      <c r="B207" s="125"/>
      <c r="C207" s="125"/>
      <c r="D207" s="125"/>
      <c r="E207" s="125"/>
      <c r="F207" s="125"/>
      <c r="G207" s="125"/>
      <c r="H207" s="125"/>
      <c r="I207" s="125"/>
      <c r="J207" s="125"/>
      <c r="K207" s="125"/>
      <c r="L207" s="126"/>
      <c r="M207" s="126"/>
      <c r="N207" s="126"/>
      <c r="O207" s="126"/>
      <c r="P207" s="126"/>
      <c r="Q207" s="126"/>
      <c r="R207" s="126"/>
      <c r="S207" s="126"/>
      <c r="T207" s="126"/>
      <c r="U207" s="126"/>
      <c r="V207" s="27"/>
    </row>
    <row r="208" spans="1:22" s="20" customFormat="1" ht="28.35" customHeight="1">
      <c r="A208" s="18"/>
      <c r="B208" s="125"/>
      <c r="C208" s="125"/>
      <c r="D208" s="125"/>
      <c r="E208" s="125"/>
      <c r="F208" s="125"/>
      <c r="G208" s="125"/>
      <c r="H208" s="125"/>
      <c r="I208" s="125"/>
      <c r="J208" s="125"/>
      <c r="K208" s="125"/>
      <c r="L208" s="126"/>
      <c r="M208" s="126"/>
      <c r="N208" s="126"/>
      <c r="O208" s="126"/>
      <c r="P208" s="126"/>
      <c r="Q208" s="126"/>
      <c r="R208" s="126"/>
      <c r="S208" s="126"/>
      <c r="T208" s="126"/>
      <c r="U208" s="126"/>
      <c r="V208" s="27"/>
    </row>
    <row r="209" spans="1:22" s="20" customFormat="1" ht="27" customHeight="1">
      <c r="A209" s="18"/>
      <c r="B209" s="125"/>
      <c r="C209" s="125"/>
      <c r="D209" s="125"/>
      <c r="E209" s="125"/>
      <c r="F209" s="125"/>
      <c r="G209" s="125"/>
      <c r="H209" s="125"/>
      <c r="I209" s="125"/>
      <c r="J209" s="125"/>
      <c r="K209" s="125"/>
      <c r="L209" s="126"/>
      <c r="M209" s="126"/>
      <c r="N209" s="126"/>
      <c r="O209" s="126"/>
      <c r="P209" s="126"/>
      <c r="Q209" s="126"/>
      <c r="R209" s="126"/>
      <c r="S209" s="126"/>
      <c r="T209" s="126"/>
      <c r="U209" s="126"/>
      <c r="V209" s="27"/>
    </row>
    <row r="210" spans="1:22" s="20" customFormat="1" ht="27.75" hidden="1" customHeight="1">
      <c r="A210" s="18"/>
      <c r="B210" s="125"/>
      <c r="C210" s="125"/>
      <c r="D210" s="125"/>
      <c r="E210" s="125"/>
      <c r="F210" s="125"/>
      <c r="G210" s="125"/>
      <c r="H210" s="125"/>
      <c r="I210" s="125"/>
      <c r="J210" s="125"/>
      <c r="K210" s="125"/>
      <c r="L210" s="126"/>
      <c r="M210" s="126"/>
      <c r="N210" s="126"/>
      <c r="O210" s="126"/>
      <c r="P210" s="126"/>
      <c r="Q210" s="126"/>
      <c r="R210" s="126"/>
      <c r="S210" s="126"/>
      <c r="T210" s="126"/>
      <c r="U210" s="126"/>
      <c r="V210" s="27"/>
    </row>
    <row r="211" spans="1:22" s="20" customFormat="1" ht="2.25" customHeight="1">
      <c r="A211" s="18"/>
      <c r="B211" s="125"/>
      <c r="C211" s="125"/>
      <c r="D211" s="125"/>
      <c r="E211" s="125"/>
      <c r="F211" s="125"/>
      <c r="G211" s="125"/>
      <c r="H211" s="125"/>
      <c r="I211" s="125"/>
      <c r="J211" s="125"/>
      <c r="K211" s="125"/>
      <c r="L211" s="126"/>
      <c r="M211" s="126"/>
      <c r="N211" s="126"/>
      <c r="O211" s="126"/>
      <c r="P211" s="126"/>
      <c r="Q211" s="126"/>
      <c r="R211" s="126"/>
      <c r="S211" s="126"/>
      <c r="T211" s="126"/>
      <c r="U211" s="126"/>
      <c r="V211" s="27"/>
    </row>
    <row r="212" spans="1:22" s="20" customFormat="1" ht="16.5" hidden="1" customHeight="1">
      <c r="A212" s="18"/>
      <c r="B212" s="125"/>
      <c r="C212" s="125"/>
      <c r="D212" s="125"/>
      <c r="E212" s="125"/>
      <c r="F212" s="125"/>
      <c r="G212" s="125"/>
      <c r="H212" s="125"/>
      <c r="I212" s="125"/>
      <c r="J212" s="125"/>
      <c r="K212" s="125"/>
      <c r="L212" s="126"/>
      <c r="M212" s="126"/>
      <c r="N212" s="126"/>
      <c r="O212" s="126"/>
      <c r="P212" s="126"/>
      <c r="Q212" s="126"/>
      <c r="R212" s="126"/>
      <c r="S212" s="126"/>
      <c r="T212" s="126"/>
      <c r="U212" s="126"/>
      <c r="V212" s="27"/>
    </row>
    <row r="213" spans="1:22" s="20" customFormat="1" ht="16.5" hidden="1" customHeight="1">
      <c r="A213" s="18"/>
      <c r="B213" s="125"/>
      <c r="C213" s="125"/>
      <c r="D213" s="125"/>
      <c r="E213" s="125"/>
      <c r="F213" s="125"/>
      <c r="G213" s="125"/>
      <c r="H213" s="125"/>
      <c r="I213" s="125"/>
      <c r="J213" s="125"/>
      <c r="K213" s="125"/>
      <c r="L213" s="126"/>
      <c r="M213" s="126"/>
      <c r="N213" s="126"/>
      <c r="O213" s="126"/>
      <c r="P213" s="126"/>
      <c r="Q213" s="126"/>
      <c r="R213" s="126"/>
      <c r="S213" s="126"/>
      <c r="T213" s="126"/>
      <c r="U213" s="126"/>
      <c r="V213" s="27"/>
    </row>
    <row r="214" spans="1:22" s="20" customFormat="1" ht="1.5" hidden="1" customHeight="1">
      <c r="A214" s="18"/>
      <c r="B214" s="125"/>
      <c r="C214" s="125"/>
      <c r="D214" s="125"/>
      <c r="E214" s="125"/>
      <c r="F214" s="125"/>
      <c r="G214" s="125"/>
      <c r="H214" s="125"/>
      <c r="I214" s="125"/>
      <c r="J214" s="125"/>
      <c r="K214" s="125"/>
      <c r="L214" s="126"/>
      <c r="M214" s="126"/>
      <c r="N214" s="126"/>
      <c r="O214" s="126"/>
      <c r="P214" s="126"/>
      <c r="Q214" s="126"/>
      <c r="R214" s="126"/>
      <c r="S214" s="126"/>
      <c r="T214" s="126"/>
      <c r="U214" s="126"/>
      <c r="V214" s="27"/>
    </row>
    <row r="215" spans="1:22" s="20" customFormat="1" ht="16.5" hidden="1" customHeight="1">
      <c r="A215" s="18"/>
      <c r="B215" s="125"/>
      <c r="C215" s="125"/>
      <c r="D215" s="125"/>
      <c r="E215" s="125"/>
      <c r="F215" s="125"/>
      <c r="G215" s="125"/>
      <c r="H215" s="125"/>
      <c r="I215" s="125"/>
      <c r="J215" s="125"/>
      <c r="K215" s="125"/>
      <c r="L215" s="126"/>
      <c r="M215" s="126"/>
      <c r="N215" s="126"/>
      <c r="O215" s="126"/>
      <c r="P215" s="126"/>
      <c r="Q215" s="126"/>
      <c r="R215" s="126"/>
      <c r="S215" s="126"/>
      <c r="T215" s="126"/>
      <c r="U215" s="126"/>
      <c r="V215" s="27"/>
    </row>
    <row r="216" spans="1:22" s="20" customFormat="1" ht="16.5" hidden="1" customHeight="1">
      <c r="A216" s="18"/>
      <c r="B216" s="125"/>
      <c r="C216" s="125"/>
      <c r="D216" s="125"/>
      <c r="E216" s="125"/>
      <c r="F216" s="125"/>
      <c r="G216" s="125"/>
      <c r="H216" s="125"/>
      <c r="I216" s="125"/>
      <c r="J216" s="125"/>
      <c r="K216" s="125"/>
      <c r="L216" s="126"/>
      <c r="M216" s="126"/>
      <c r="N216" s="126"/>
      <c r="O216" s="126"/>
      <c r="P216" s="126"/>
      <c r="Q216" s="126"/>
      <c r="R216" s="126"/>
      <c r="S216" s="126"/>
      <c r="T216" s="126"/>
      <c r="U216" s="126"/>
      <c r="V216" s="27"/>
    </row>
    <row r="217" spans="1:22" s="20" customFormat="1" ht="16.5" hidden="1" customHeight="1">
      <c r="A217" s="18"/>
      <c r="B217" s="125"/>
      <c r="C217" s="125"/>
      <c r="D217" s="125"/>
      <c r="E217" s="125"/>
      <c r="F217" s="125"/>
      <c r="G217" s="125"/>
      <c r="H217" s="125"/>
      <c r="I217" s="125"/>
      <c r="J217" s="125"/>
      <c r="K217" s="125"/>
      <c r="L217" s="126"/>
      <c r="M217" s="126"/>
      <c r="N217" s="126"/>
      <c r="O217" s="126"/>
      <c r="P217" s="126"/>
      <c r="Q217" s="126"/>
      <c r="R217" s="126"/>
      <c r="S217" s="126"/>
      <c r="T217" s="126"/>
      <c r="U217" s="126"/>
      <c r="V217" s="27"/>
    </row>
    <row r="218" spans="1:22" s="20" customFormat="1" ht="4.5" hidden="1" customHeight="1">
      <c r="A218" s="18"/>
      <c r="B218" s="125"/>
      <c r="C218" s="125"/>
      <c r="D218" s="125"/>
      <c r="E218" s="125"/>
      <c r="F218" s="125"/>
      <c r="G218" s="125"/>
      <c r="H218" s="125"/>
      <c r="I218" s="125"/>
      <c r="J218" s="125"/>
      <c r="K218" s="125"/>
      <c r="L218" s="126"/>
      <c r="M218" s="126"/>
      <c r="N218" s="126"/>
      <c r="O218" s="126"/>
      <c r="P218" s="126"/>
      <c r="Q218" s="126"/>
      <c r="R218" s="126"/>
      <c r="S218" s="126"/>
      <c r="T218" s="126"/>
      <c r="U218" s="126"/>
      <c r="V218" s="27"/>
    </row>
    <row r="219" spans="1:22" s="20" customFormat="1" ht="16.5" customHeight="1">
      <c r="A219" s="153" t="s">
        <v>123</v>
      </c>
      <c r="B219" s="153"/>
      <c r="C219" s="153"/>
      <c r="D219" s="153"/>
      <c r="E219" s="153"/>
      <c r="F219" s="153"/>
      <c r="G219" s="153"/>
      <c r="H219" s="153"/>
      <c r="I219" s="153"/>
      <c r="J219" s="153"/>
      <c r="K219" s="153"/>
      <c r="L219" s="153"/>
      <c r="M219" s="153"/>
      <c r="N219" s="153"/>
      <c r="O219" s="153"/>
      <c r="P219" s="153"/>
      <c r="Q219" s="153"/>
      <c r="R219" s="153"/>
      <c r="S219" s="153"/>
      <c r="T219" s="153"/>
      <c r="U219" s="128"/>
      <c r="V219" s="27"/>
    </row>
    <row r="220" spans="1:22" s="20" customFormat="1" ht="16.5" customHeight="1">
      <c r="A220" s="153" t="s">
        <v>124</v>
      </c>
      <c r="B220" s="153"/>
      <c r="C220" s="153"/>
      <c r="D220" s="153"/>
      <c r="E220" s="153"/>
      <c r="F220" s="153"/>
      <c r="G220" s="153"/>
      <c r="H220" s="153"/>
      <c r="I220" s="153"/>
      <c r="J220" s="153"/>
      <c r="K220" s="153"/>
      <c r="L220" s="153"/>
      <c r="M220" s="153"/>
      <c r="N220" s="153"/>
      <c r="O220" s="153"/>
      <c r="P220" s="153"/>
      <c r="Q220" s="153"/>
      <c r="R220" s="153"/>
      <c r="S220" s="153"/>
      <c r="T220" s="153"/>
      <c r="U220" s="128"/>
      <c r="V220" s="27"/>
    </row>
    <row r="221" spans="1:22" s="20" customFormat="1" ht="16.5" customHeight="1">
      <c r="A221" s="43"/>
      <c r="B221" s="127"/>
      <c r="C221" s="127"/>
      <c r="D221" s="127"/>
      <c r="E221" s="127"/>
      <c r="F221" s="127"/>
      <c r="G221" s="127"/>
      <c r="H221" s="127"/>
      <c r="I221" s="127"/>
      <c r="J221" s="127"/>
      <c r="K221" s="127"/>
      <c r="L221" s="128"/>
      <c r="M221" s="128"/>
      <c r="N221" s="128"/>
      <c r="O221" s="128"/>
      <c r="P221" s="128"/>
      <c r="Q221" s="128"/>
      <c r="R221" s="128"/>
      <c r="S221" s="128"/>
      <c r="T221" s="128"/>
      <c r="U221" s="128"/>
      <c r="V221" s="27"/>
    </row>
    <row r="222" spans="1:22" s="20" customFormat="1" ht="16.5" customHeight="1">
      <c r="A222" s="43"/>
      <c r="B222" s="154" t="s">
        <v>125</v>
      </c>
      <c r="C222" s="155" t="s">
        <v>126</v>
      </c>
      <c r="D222" s="155"/>
      <c r="E222" s="155"/>
      <c r="F222" s="155"/>
      <c r="G222" s="155"/>
      <c r="H222" s="155"/>
      <c r="I222" s="155"/>
      <c r="J222" s="155"/>
      <c r="K222" s="155"/>
      <c r="L222" s="155"/>
      <c r="M222" s="155"/>
      <c r="N222" s="155"/>
      <c r="O222" s="155"/>
      <c r="P222" s="155"/>
      <c r="Q222" s="155"/>
      <c r="R222" s="155"/>
      <c r="S222" s="155"/>
      <c r="T222" s="155"/>
      <c r="U222" s="155"/>
      <c r="V222" s="27"/>
    </row>
    <row r="223" spans="1:22" s="20" customFormat="1" ht="48" customHeight="1">
      <c r="A223" s="18"/>
      <c r="B223" s="156"/>
      <c r="C223" s="157" t="str">
        <f>"Laporan Realisasi Anggaran Tahun Anggaran "&amp;'[1]2.ISIAN DATA SKPD'!D11&amp;" menggambarkan perbandingan antara anggaran dengan realisasinya dalam satu periode pelaporan."</f>
        <v>Laporan Realisasi Anggaran Tahun Anggaran 2017 menggambarkan perbandingan antara anggaran dengan realisasinya dalam satu periode pelaporan.</v>
      </c>
      <c r="D223" s="157"/>
      <c r="E223" s="157"/>
      <c r="F223" s="157"/>
      <c r="G223" s="157"/>
      <c r="H223" s="157"/>
      <c r="I223" s="157"/>
      <c r="J223" s="157"/>
      <c r="K223" s="157"/>
      <c r="L223" s="157"/>
      <c r="M223" s="157"/>
      <c r="N223" s="157"/>
      <c r="O223" s="157"/>
      <c r="P223" s="157"/>
      <c r="Q223" s="157"/>
      <c r="R223" s="157"/>
      <c r="S223" s="157"/>
      <c r="T223" s="157"/>
      <c r="U223" s="157"/>
      <c r="V223" s="27"/>
    </row>
    <row r="224" spans="1:22" s="20" customFormat="1" ht="16.5" customHeight="1">
      <c r="A224" s="30"/>
      <c r="B224" s="158" t="s">
        <v>127</v>
      </c>
      <c r="C224" s="22" t="s">
        <v>128</v>
      </c>
      <c r="D224" s="159"/>
      <c r="E224" s="160"/>
      <c r="F224" s="160"/>
      <c r="G224" s="160"/>
      <c r="H224" s="27"/>
      <c r="I224" s="27"/>
      <c r="J224" s="27"/>
      <c r="K224" s="27"/>
      <c r="L224" s="37"/>
      <c r="M224" s="37"/>
      <c r="N224" s="37"/>
      <c r="O224" s="37"/>
      <c r="P224" s="37"/>
      <c r="Q224" s="37"/>
      <c r="R224" s="37"/>
      <c r="S224" s="37"/>
      <c r="T224" s="24"/>
      <c r="U224" s="24"/>
      <c r="V224" s="27"/>
    </row>
    <row r="225" spans="1:39" s="20" customFormat="1" ht="68.25" customHeight="1">
      <c r="A225" s="30"/>
      <c r="C225" s="157" t="str">
        <f>"Realisasi Pendapatan untuk periode yang berakhir pada "&amp;'[1]2.ISIAN DATA SKPD'!D8 &amp;" adalah sebesar Rp. "&amp;FIXED(J244) &amp;" atau mencapai  "&amp;FIXED(V247)&amp;" % dari estimasi pendapatan yang ditetapkan sebesar Rp. "&amp;FIXED(D244)&amp;" lebih dari anggaran sebesar Rp. "&amp;FIXED('[1]3.LRA'!G18)&amp;"."</f>
        <v>Realisasi Pendapatan untuk periode yang berakhir pada 31 Desember 2017 adalah sebesar Rp. 534,830,700.00 atau mencapai  184.42 % dari estimasi pendapatan yang ditetapkan sebesar Rp. 290,000,000.00 lebih dari anggaran sebesar Rp. 244,830,700.00.</v>
      </c>
      <c r="D225" s="157"/>
      <c r="E225" s="157"/>
      <c r="F225" s="157"/>
      <c r="G225" s="157"/>
      <c r="H225" s="157"/>
      <c r="I225" s="157"/>
      <c r="J225" s="157"/>
      <c r="K225" s="157"/>
      <c r="L225" s="157"/>
      <c r="M225" s="157"/>
      <c r="N225" s="157"/>
      <c r="O225" s="157"/>
      <c r="P225" s="157"/>
      <c r="Q225" s="157"/>
      <c r="R225" s="157"/>
      <c r="S225" s="157"/>
      <c r="T225" s="157"/>
      <c r="U225" s="157"/>
      <c r="V225" s="27"/>
    </row>
    <row r="226" spans="1:39" s="20" customFormat="1" ht="75.75" customHeight="1">
      <c r="A226" s="161"/>
      <c r="C226" s="157" t="str">
        <f>"Pendapatan "&amp;'[1]2.ISIAN DATA SKPD'!D2&amp;" berasal dari Pendapatan Asli Daerah, Pendapatan Transfer dan Lain-lain Pendapatan Yang Sah. Rincian estimasi pendapatan dan realisasinya adalah sebagai berikut: "</f>
        <v xml:space="preserve">Pendapatan Dinas Pekerjaan Umum dan Penataan Ruang berasal dari Pendapatan Asli Daerah, Pendapatan Transfer dan Lain-lain Pendapatan Yang Sah. Rincian estimasi pendapatan dan realisasinya adalah sebagai berikut: </v>
      </c>
      <c r="D226" s="157"/>
      <c r="E226" s="157"/>
      <c r="F226" s="157"/>
      <c r="G226" s="157"/>
      <c r="H226" s="157"/>
      <c r="I226" s="157"/>
      <c r="J226" s="157"/>
      <c r="K226" s="157"/>
      <c r="L226" s="157"/>
      <c r="M226" s="157"/>
      <c r="N226" s="157"/>
      <c r="O226" s="157"/>
      <c r="P226" s="157"/>
      <c r="Q226" s="157"/>
      <c r="R226" s="157"/>
      <c r="S226" s="157"/>
      <c r="T226" s="157"/>
      <c r="U226" s="157"/>
      <c r="V226" s="162"/>
      <c r="W226" s="162"/>
      <c r="X226" s="162"/>
      <c r="Y226" s="162"/>
      <c r="Z226" s="162"/>
      <c r="AA226" s="162"/>
      <c r="AB226" s="162"/>
      <c r="AC226" s="162"/>
      <c r="AD226" s="162"/>
      <c r="AE226" s="162"/>
      <c r="AF226" s="162"/>
      <c r="AG226" s="162"/>
      <c r="AH226" s="162"/>
      <c r="AI226" s="162"/>
      <c r="AJ226" s="162"/>
      <c r="AK226" s="162"/>
      <c r="AL226" s="162"/>
      <c r="AM226" s="162"/>
    </row>
    <row r="227" spans="1:39" s="20" customFormat="1" ht="12.75" customHeight="1">
      <c r="A227" s="18"/>
      <c r="B227" s="27"/>
      <c r="C227" s="27"/>
      <c r="D227" s="163"/>
      <c r="E227" s="164"/>
      <c r="F227" s="164"/>
      <c r="G227" s="164"/>
      <c r="H227" s="164"/>
      <c r="I227" s="164"/>
      <c r="J227" s="164"/>
      <c r="K227" s="164"/>
      <c r="L227" s="164"/>
      <c r="M227" s="164"/>
      <c r="N227" s="164"/>
      <c r="O227" s="164"/>
      <c r="P227" s="164"/>
      <c r="Q227" s="164"/>
      <c r="R227" s="164"/>
      <c r="S227" s="164"/>
      <c r="T227" s="46"/>
      <c r="U227" s="46"/>
      <c r="V227" s="27"/>
    </row>
    <row r="228" spans="1:39" s="20" customFormat="1" ht="21" customHeight="1">
      <c r="A228" s="18"/>
      <c r="B228" s="165" t="str">
        <f>"Rincian Estimasi dan Realisasi Pendapatan  Tahun "&amp;'[1]2.ISIAN DATA SKPD'!D11&amp;""</f>
        <v>Rincian Estimasi dan Realisasi Pendapatan  Tahun 2017</v>
      </c>
      <c r="C228" s="165"/>
      <c r="D228" s="165"/>
      <c r="E228" s="165"/>
      <c r="F228" s="165"/>
      <c r="G228" s="166"/>
      <c r="H228" s="166"/>
      <c r="I228" s="166"/>
      <c r="J228" s="166"/>
      <c r="K228" s="166"/>
      <c r="L228" s="166"/>
      <c r="M228" s="166"/>
      <c r="N228" s="166"/>
      <c r="O228" s="166"/>
      <c r="P228" s="166"/>
      <c r="Q228" s="166"/>
      <c r="R228" s="166"/>
      <c r="S228" s="166"/>
      <c r="T228" s="166"/>
      <c r="U228" s="166"/>
      <c r="V228" s="167"/>
      <c r="W228" s="167"/>
      <c r="X228" s="167"/>
      <c r="Y228" s="167"/>
      <c r="Z228" s="167"/>
      <c r="AA228" s="167"/>
      <c r="AB228" s="167"/>
      <c r="AC228" s="167"/>
      <c r="AD228" s="167"/>
      <c r="AE228" s="167"/>
      <c r="AF228" s="167"/>
      <c r="AG228" s="167"/>
      <c r="AH228" s="167"/>
      <c r="AI228" s="167"/>
      <c r="AJ228" s="167"/>
      <c r="AK228" s="167"/>
      <c r="AL228" s="167"/>
      <c r="AM228" s="167"/>
    </row>
    <row r="229" spans="1:39" s="20" customFormat="1" ht="30.75" customHeight="1">
      <c r="A229" s="168" t="s">
        <v>84</v>
      </c>
      <c r="B229" s="169"/>
      <c r="C229" s="170"/>
      <c r="D229" s="171">
        <f>'[1]2.ISIAN DATA SKPD'!D11</f>
        <v>2017</v>
      </c>
      <c r="E229" s="172"/>
      <c r="F229" s="172"/>
      <c r="G229" s="172"/>
      <c r="H229" s="172"/>
      <c r="I229" s="172"/>
      <c r="J229" s="172"/>
      <c r="K229" s="172"/>
      <c r="L229" s="172"/>
      <c r="M229" s="172"/>
      <c r="N229" s="173"/>
      <c r="O229" s="174">
        <f>'[1]2.ISIAN DATA SKPD'!D12</f>
        <v>2016</v>
      </c>
      <c r="P229" s="175"/>
      <c r="Q229" s="175"/>
      <c r="R229" s="175"/>
      <c r="S229" s="176"/>
      <c r="T229" s="177" t="s">
        <v>129</v>
      </c>
      <c r="U229" s="178"/>
      <c r="V229" s="167"/>
      <c r="W229" s="167"/>
      <c r="X229" s="167"/>
      <c r="Y229" s="167"/>
      <c r="Z229" s="167"/>
      <c r="AA229" s="167"/>
      <c r="AB229" s="167"/>
      <c r="AC229" s="167"/>
      <c r="AD229" s="167"/>
      <c r="AE229" s="167"/>
      <c r="AF229" s="167"/>
      <c r="AG229" s="167"/>
      <c r="AH229" s="167"/>
      <c r="AI229" s="167"/>
      <c r="AJ229" s="167"/>
      <c r="AK229" s="167"/>
      <c r="AL229" s="167"/>
      <c r="AM229" s="167"/>
    </row>
    <row r="230" spans="1:39" s="20" customFormat="1" ht="19.5" customHeight="1">
      <c r="A230" s="179"/>
      <c r="B230" s="180"/>
      <c r="C230" s="181"/>
      <c r="D230" s="171" t="s">
        <v>130</v>
      </c>
      <c r="E230" s="172"/>
      <c r="F230" s="172"/>
      <c r="G230" s="172"/>
      <c r="H230" s="172"/>
      <c r="I230" s="173"/>
      <c r="J230" s="174" t="s">
        <v>131</v>
      </c>
      <c r="K230" s="175"/>
      <c r="L230" s="175"/>
      <c r="M230" s="175"/>
      <c r="N230" s="176"/>
      <c r="O230" s="174" t="s">
        <v>131</v>
      </c>
      <c r="P230" s="175"/>
      <c r="Q230" s="175"/>
      <c r="R230" s="175"/>
      <c r="S230" s="176"/>
      <c r="T230" s="182"/>
      <c r="U230" s="183"/>
      <c r="V230" s="27"/>
    </row>
    <row r="231" spans="1:39" s="20" customFormat="1" ht="30.75" customHeight="1">
      <c r="A231" s="184" t="s">
        <v>132</v>
      </c>
      <c r="B231" s="185"/>
      <c r="C231" s="186"/>
      <c r="D231" s="187">
        <f>SUM(D232:I235)</f>
        <v>290000000</v>
      </c>
      <c r="E231" s="188"/>
      <c r="F231" s="188"/>
      <c r="G231" s="188"/>
      <c r="H231" s="188"/>
      <c r="I231" s="189"/>
      <c r="J231" s="187">
        <f>SUM(J232:N235)</f>
        <v>534830700</v>
      </c>
      <c r="K231" s="188"/>
      <c r="L231" s="188"/>
      <c r="M231" s="188"/>
      <c r="N231" s="189"/>
      <c r="O231" s="190">
        <f>SUM(O232:S235)</f>
        <v>1043240650</v>
      </c>
      <c r="P231" s="191"/>
      <c r="Q231" s="191"/>
      <c r="R231" s="191"/>
      <c r="S231" s="192"/>
      <c r="T231" s="193">
        <f>(J231-O231)/O231*100</f>
        <v>-48.733717383424427</v>
      </c>
      <c r="U231" s="194"/>
      <c r="V231" s="27"/>
    </row>
    <row r="232" spans="1:39" s="20" customFormat="1" ht="18.75" customHeight="1">
      <c r="A232" s="195" t="s">
        <v>133</v>
      </c>
      <c r="B232" s="196"/>
      <c r="C232" s="197"/>
      <c r="D232" s="198">
        <f>'[1]3.LRA'!D20</f>
        <v>0</v>
      </c>
      <c r="E232" s="199"/>
      <c r="F232" s="199"/>
      <c r="G232" s="199"/>
      <c r="H232" s="199"/>
      <c r="I232" s="200"/>
      <c r="J232" s="198">
        <f>'[1]3.LRA'!E20</f>
        <v>0</v>
      </c>
      <c r="K232" s="199"/>
      <c r="L232" s="199"/>
      <c r="M232" s="199"/>
      <c r="N232" s="200"/>
      <c r="O232" s="201">
        <f>'[1]3.LRA'!I20</f>
        <v>0</v>
      </c>
      <c r="P232" s="202"/>
      <c r="Q232" s="202"/>
      <c r="R232" s="202"/>
      <c r="S232" s="203"/>
      <c r="T232" s="193"/>
      <c r="U232" s="194"/>
      <c r="V232" s="27"/>
    </row>
    <row r="233" spans="1:39" s="20" customFormat="1" ht="21" customHeight="1">
      <c r="A233" s="195" t="s">
        <v>134</v>
      </c>
      <c r="B233" s="196"/>
      <c r="C233" s="197"/>
      <c r="D233" s="198">
        <f>'[1]3.LRA'!D21</f>
        <v>185000000</v>
      </c>
      <c r="E233" s="199"/>
      <c r="F233" s="199"/>
      <c r="G233" s="199"/>
      <c r="H233" s="199"/>
      <c r="I233" s="200"/>
      <c r="J233" s="198">
        <f>'[1]3.LRA'!E21</f>
        <v>188721200</v>
      </c>
      <c r="K233" s="199"/>
      <c r="L233" s="199"/>
      <c r="M233" s="199"/>
      <c r="N233" s="200"/>
      <c r="O233" s="201">
        <f>'[1]3.LRA'!I21</f>
        <v>95949000</v>
      </c>
      <c r="P233" s="202"/>
      <c r="Q233" s="202"/>
      <c r="R233" s="202"/>
      <c r="S233" s="203"/>
      <c r="T233" s="193">
        <f>(J233-O233)/O233*100</f>
        <v>96.689074404110514</v>
      </c>
      <c r="U233" s="194"/>
      <c r="V233" s="204" t="s">
        <v>135</v>
      </c>
      <c r="W233" s="205"/>
      <c r="X233" s="205"/>
      <c r="Y233" s="206" t="s">
        <v>136</v>
      </c>
      <c r="Z233" s="207"/>
      <c r="AA233" s="207"/>
      <c r="AB233" s="207" t="s">
        <v>137</v>
      </c>
      <c r="AC233" s="206" t="s">
        <v>138</v>
      </c>
      <c r="AD233" s="207"/>
      <c r="AE233" s="207"/>
      <c r="AF233" s="207"/>
    </row>
    <row r="234" spans="1:39" s="20" customFormat="1" ht="30" customHeight="1">
      <c r="A234" s="195" t="s">
        <v>139</v>
      </c>
      <c r="B234" s="196"/>
      <c r="C234" s="197"/>
      <c r="D234" s="198">
        <f>'[1]3.LRA'!D22</f>
        <v>0</v>
      </c>
      <c r="E234" s="199"/>
      <c r="F234" s="199"/>
      <c r="G234" s="199"/>
      <c r="H234" s="199"/>
      <c r="I234" s="200"/>
      <c r="J234" s="198">
        <f>'[1]3.LRA'!E22</f>
        <v>0</v>
      </c>
      <c r="K234" s="199"/>
      <c r="L234" s="199"/>
      <c r="M234" s="199"/>
      <c r="N234" s="200"/>
      <c r="O234" s="201">
        <f>'[1]3.LRA'!I22</f>
        <v>223926000</v>
      </c>
      <c r="P234" s="202"/>
      <c r="Q234" s="202"/>
      <c r="R234" s="202"/>
      <c r="S234" s="203"/>
      <c r="T234" s="193">
        <f>(J234-O234)/O234*100</f>
        <v>-100</v>
      </c>
      <c r="U234" s="194"/>
      <c r="V234" s="204">
        <f>J231/D231*100</f>
        <v>184.42437931034482</v>
      </c>
      <c r="W234" s="205"/>
      <c r="X234" s="205"/>
      <c r="Y234" s="208">
        <f t="shared" ref="Y234:Y247" si="4">D231-J231</f>
        <v>-244830700</v>
      </c>
      <c r="Z234" s="209"/>
      <c r="AA234" s="209"/>
      <c r="AB234" s="209"/>
      <c r="AC234" s="210">
        <f t="shared" ref="AC234:AC247" si="5">J231-O231</f>
        <v>-508409950</v>
      </c>
      <c r="AD234" s="211"/>
      <c r="AE234" s="211"/>
      <c r="AF234" s="211"/>
    </row>
    <row r="235" spans="1:39" s="20" customFormat="1" ht="16.5" customHeight="1">
      <c r="A235" s="195" t="s">
        <v>140</v>
      </c>
      <c r="B235" s="196"/>
      <c r="C235" s="197"/>
      <c r="D235" s="198">
        <f>'[1]3.LRA'!D23</f>
        <v>105000000</v>
      </c>
      <c r="E235" s="199"/>
      <c r="F235" s="199"/>
      <c r="G235" s="199"/>
      <c r="H235" s="199"/>
      <c r="I235" s="200"/>
      <c r="J235" s="198">
        <f>'[1]3.LRA'!E23</f>
        <v>346109500</v>
      </c>
      <c r="K235" s="199"/>
      <c r="L235" s="199"/>
      <c r="M235" s="199"/>
      <c r="N235" s="200"/>
      <c r="O235" s="201">
        <f>'[1]3.LRA'!I23</f>
        <v>723365650</v>
      </c>
      <c r="P235" s="202"/>
      <c r="Q235" s="202"/>
      <c r="R235" s="202"/>
      <c r="S235" s="203"/>
      <c r="T235" s="193">
        <f>(J235-O235)/O235*100</f>
        <v>-52.152898053702167</v>
      </c>
      <c r="U235" s="194"/>
      <c r="V235" s="204" t="e">
        <f t="shared" ref="V235:V247" si="6">J232/D232*100</f>
        <v>#DIV/0!</v>
      </c>
      <c r="W235" s="205"/>
      <c r="X235" s="205"/>
      <c r="Y235" s="208">
        <f t="shared" si="4"/>
        <v>0</v>
      </c>
      <c r="Z235" s="209"/>
      <c r="AA235" s="209"/>
      <c r="AB235" s="209"/>
      <c r="AC235" s="210">
        <f t="shared" si="5"/>
        <v>0</v>
      </c>
      <c r="AD235" s="211"/>
      <c r="AE235" s="211"/>
      <c r="AF235" s="211"/>
    </row>
    <row r="236" spans="1:39" s="20" customFormat="1" ht="16.5" customHeight="1">
      <c r="A236" s="184" t="s">
        <v>141</v>
      </c>
      <c r="B236" s="185"/>
      <c r="C236" s="186"/>
      <c r="D236" s="187">
        <f>SUM(D237:J238)</f>
        <v>0</v>
      </c>
      <c r="E236" s="188"/>
      <c r="F236" s="188"/>
      <c r="G236" s="188"/>
      <c r="H236" s="188"/>
      <c r="I236" s="189"/>
      <c r="J236" s="187">
        <f>SUM(J237:O238)</f>
        <v>0</v>
      </c>
      <c r="K236" s="188"/>
      <c r="L236" s="188"/>
      <c r="M236" s="188"/>
      <c r="N236" s="189"/>
      <c r="O236" s="187">
        <f>SUM(O237:S239)</f>
        <v>0</v>
      </c>
      <c r="P236" s="188"/>
      <c r="Q236" s="188"/>
      <c r="R236" s="188"/>
      <c r="S236" s="189"/>
      <c r="T236" s="193"/>
      <c r="U236" s="194"/>
      <c r="V236" s="204">
        <f t="shared" si="6"/>
        <v>102.01145945945946</v>
      </c>
      <c r="W236" s="205"/>
      <c r="X236" s="205"/>
      <c r="Y236" s="208">
        <f t="shared" si="4"/>
        <v>-3721200</v>
      </c>
      <c r="Z236" s="209"/>
      <c r="AA236" s="209"/>
      <c r="AB236" s="209"/>
      <c r="AC236" s="210">
        <f t="shared" si="5"/>
        <v>92772200</v>
      </c>
      <c r="AD236" s="211"/>
      <c r="AE236" s="211"/>
      <c r="AF236" s="211"/>
    </row>
    <row r="237" spans="1:39" s="20" customFormat="1" ht="42.75" customHeight="1">
      <c r="A237" s="195" t="str">
        <f>'[1]3.LRA'!C28</f>
        <v>Transfer Pemerintah Pusat ( Dana Perimbangan)</v>
      </c>
      <c r="B237" s="196"/>
      <c r="C237" s="197"/>
      <c r="D237" s="187">
        <f>'[1]3.LRA'!D28</f>
        <v>0</v>
      </c>
      <c r="E237" s="188"/>
      <c r="F237" s="188"/>
      <c r="G237" s="188"/>
      <c r="H237" s="188"/>
      <c r="I237" s="189"/>
      <c r="J237" s="187">
        <f>'[1]3.LRA'!E28</f>
        <v>0</v>
      </c>
      <c r="K237" s="188"/>
      <c r="L237" s="188"/>
      <c r="M237" s="188"/>
      <c r="N237" s="189"/>
      <c r="O237" s="187">
        <f>'[1]3.LRA'!I28</f>
        <v>0</v>
      </c>
      <c r="P237" s="188"/>
      <c r="Q237" s="188"/>
      <c r="R237" s="188"/>
      <c r="S237" s="189"/>
      <c r="T237" s="193"/>
      <c r="U237" s="194"/>
      <c r="V237" s="204" t="e">
        <f>J234/D234*100</f>
        <v>#DIV/0!</v>
      </c>
      <c r="W237" s="205"/>
      <c r="X237" s="205"/>
      <c r="Y237" s="208">
        <f t="shared" si="4"/>
        <v>0</v>
      </c>
      <c r="Z237" s="209"/>
      <c r="AA237" s="209"/>
      <c r="AB237" s="209"/>
      <c r="AC237" s="210">
        <f t="shared" si="5"/>
        <v>-223926000</v>
      </c>
      <c r="AD237" s="211"/>
      <c r="AE237" s="211"/>
      <c r="AF237" s="211"/>
    </row>
    <row r="238" spans="1:39" s="20" customFormat="1" ht="15.75" customHeight="1">
      <c r="A238" s="195" t="str">
        <f>'[1]3.LRA'!C29</f>
        <v>Transfer Pemerintah Pusat Lainnya</v>
      </c>
      <c r="B238" s="196"/>
      <c r="C238" s="197"/>
      <c r="D238" s="187">
        <f>'[1]3.LRA'!D29</f>
        <v>0</v>
      </c>
      <c r="E238" s="188"/>
      <c r="F238" s="188"/>
      <c r="G238" s="188"/>
      <c r="H238" s="188"/>
      <c r="I238" s="189"/>
      <c r="J238" s="187">
        <f>'[1]3.LRA'!E29</f>
        <v>0</v>
      </c>
      <c r="K238" s="188"/>
      <c r="L238" s="188"/>
      <c r="M238" s="188"/>
      <c r="N238" s="189"/>
      <c r="O238" s="187">
        <f>'[1]3.LRA'!I29</f>
        <v>0</v>
      </c>
      <c r="P238" s="188"/>
      <c r="Q238" s="188"/>
      <c r="R238" s="188"/>
      <c r="S238" s="189"/>
      <c r="T238" s="193"/>
      <c r="U238" s="194"/>
      <c r="V238" s="204">
        <f t="shared" si="6"/>
        <v>329.62809523809523</v>
      </c>
      <c r="W238" s="205"/>
      <c r="X238" s="205"/>
      <c r="Y238" s="208">
        <f t="shared" si="4"/>
        <v>-241109500</v>
      </c>
      <c r="Z238" s="209"/>
      <c r="AA238" s="209"/>
      <c r="AB238" s="209"/>
      <c r="AC238" s="210">
        <f t="shared" si="5"/>
        <v>-377256150</v>
      </c>
      <c r="AD238" s="211"/>
      <c r="AE238" s="211"/>
      <c r="AF238" s="211"/>
    </row>
    <row r="239" spans="1:39" s="20" customFormat="1" ht="29.25" customHeight="1">
      <c r="A239" s="195" t="str">
        <f>'[1]3.LRA'!C30</f>
        <v>Transfer Pemerintah Profinsi</v>
      </c>
      <c r="B239" s="196"/>
      <c r="C239" s="197"/>
      <c r="D239" s="187">
        <f>'[1]3.LRA'!D30</f>
        <v>0</v>
      </c>
      <c r="E239" s="188"/>
      <c r="F239" s="188"/>
      <c r="G239" s="188"/>
      <c r="H239" s="188"/>
      <c r="I239" s="189"/>
      <c r="J239" s="187">
        <f>'[1]3.LRA'!E30</f>
        <v>0</v>
      </c>
      <c r="K239" s="188"/>
      <c r="L239" s="188"/>
      <c r="M239" s="188"/>
      <c r="N239" s="189"/>
      <c r="O239" s="187">
        <f>'[1]3.LRA'!I30</f>
        <v>0</v>
      </c>
      <c r="P239" s="188"/>
      <c r="Q239" s="188"/>
      <c r="R239" s="188"/>
      <c r="S239" s="189"/>
      <c r="T239" s="193"/>
      <c r="U239" s="194"/>
      <c r="V239" s="204" t="e">
        <f t="shared" si="6"/>
        <v>#DIV/0!</v>
      </c>
      <c r="W239" s="205"/>
      <c r="X239" s="205"/>
      <c r="Y239" s="208">
        <f t="shared" si="4"/>
        <v>0</v>
      </c>
      <c r="Z239" s="209"/>
      <c r="AA239" s="209"/>
      <c r="AB239" s="209"/>
      <c r="AC239" s="210">
        <f t="shared" si="5"/>
        <v>0</v>
      </c>
      <c r="AD239" s="211"/>
      <c r="AE239" s="211"/>
      <c r="AF239" s="211"/>
    </row>
    <row r="240" spans="1:39" s="20" customFormat="1" ht="29.25" customHeight="1">
      <c r="A240" s="212" t="s">
        <v>142</v>
      </c>
      <c r="B240" s="213"/>
      <c r="C240" s="214"/>
      <c r="D240" s="187">
        <f>SUM(D241:J243)</f>
        <v>0</v>
      </c>
      <c r="E240" s="188"/>
      <c r="F240" s="188"/>
      <c r="G240" s="188"/>
      <c r="H240" s="188"/>
      <c r="I240" s="189"/>
      <c r="J240" s="187">
        <f>SUM(J241:O243)</f>
        <v>0</v>
      </c>
      <c r="K240" s="188"/>
      <c r="L240" s="188"/>
      <c r="M240" s="188"/>
      <c r="N240" s="189"/>
      <c r="O240" s="187">
        <f>SUM(O241:S243)</f>
        <v>0</v>
      </c>
      <c r="P240" s="188"/>
      <c r="Q240" s="188"/>
      <c r="R240" s="188"/>
      <c r="S240" s="189"/>
      <c r="T240" s="193"/>
      <c r="U240" s="194"/>
      <c r="V240" s="204" t="e">
        <f t="shared" si="6"/>
        <v>#DIV/0!</v>
      </c>
      <c r="W240" s="205"/>
      <c r="X240" s="205"/>
      <c r="Y240" s="208">
        <f t="shared" si="4"/>
        <v>0</v>
      </c>
      <c r="Z240" s="209"/>
      <c r="AA240" s="209"/>
      <c r="AB240" s="209"/>
      <c r="AC240" s="210">
        <f t="shared" si="5"/>
        <v>0</v>
      </c>
      <c r="AD240" s="211"/>
      <c r="AE240" s="211"/>
      <c r="AF240" s="211"/>
    </row>
    <row r="241" spans="1:38" s="20" customFormat="1" ht="18.75" customHeight="1">
      <c r="A241" s="195" t="str">
        <f>'[1]3.LRA'!C32</f>
        <v>Pendapatan Hibah</v>
      </c>
      <c r="B241" s="196"/>
      <c r="C241" s="197"/>
      <c r="D241" s="187">
        <f>'[1]3.LRA'!D32</f>
        <v>0</v>
      </c>
      <c r="E241" s="188"/>
      <c r="F241" s="188"/>
      <c r="G241" s="188"/>
      <c r="H241" s="188"/>
      <c r="I241" s="189"/>
      <c r="J241" s="187">
        <f>'[1]3.LRA'!E32</f>
        <v>0</v>
      </c>
      <c r="K241" s="188"/>
      <c r="L241" s="188"/>
      <c r="M241" s="188"/>
      <c r="N241" s="189"/>
      <c r="O241" s="187">
        <f>'[1]3.LRA'!I32</f>
        <v>0</v>
      </c>
      <c r="P241" s="188"/>
      <c r="Q241" s="188"/>
      <c r="R241" s="188"/>
      <c r="S241" s="189"/>
      <c r="T241" s="193"/>
      <c r="U241" s="194"/>
      <c r="V241" s="204" t="e">
        <f t="shared" si="6"/>
        <v>#DIV/0!</v>
      </c>
      <c r="W241" s="205"/>
      <c r="X241" s="205"/>
      <c r="Y241" s="208">
        <f t="shared" si="4"/>
        <v>0</v>
      </c>
      <c r="Z241" s="209"/>
      <c r="AA241" s="209"/>
      <c r="AB241" s="209"/>
      <c r="AC241" s="210">
        <f t="shared" si="5"/>
        <v>0</v>
      </c>
      <c r="AD241" s="211"/>
      <c r="AE241" s="211"/>
      <c r="AF241" s="211"/>
    </row>
    <row r="242" spans="1:38" s="20" customFormat="1" ht="27.75" customHeight="1">
      <c r="A242" s="195" t="str">
        <f>'[1]3.LRA'!C33</f>
        <v>Pendapatan Dana darurat</v>
      </c>
      <c r="B242" s="196"/>
      <c r="C242" s="197"/>
      <c r="D242" s="187">
        <f>'[1]3.LRA'!D33</f>
        <v>0</v>
      </c>
      <c r="E242" s="188"/>
      <c r="F242" s="188"/>
      <c r="G242" s="188"/>
      <c r="H242" s="188"/>
      <c r="I242" s="189"/>
      <c r="J242" s="187">
        <f>'[1]3.LRA'!E33</f>
        <v>0</v>
      </c>
      <c r="K242" s="188"/>
      <c r="L242" s="188"/>
      <c r="M242" s="188"/>
      <c r="N242" s="189"/>
      <c r="O242" s="187">
        <f>'[1]3.LRA'!I33</f>
        <v>0</v>
      </c>
      <c r="P242" s="188"/>
      <c r="Q242" s="188"/>
      <c r="R242" s="188"/>
      <c r="S242" s="189"/>
      <c r="T242" s="193"/>
      <c r="U242" s="194"/>
      <c r="V242" s="204" t="e">
        <f t="shared" si="6"/>
        <v>#DIV/0!</v>
      </c>
      <c r="W242" s="205"/>
      <c r="X242" s="205"/>
      <c r="Y242" s="208">
        <f t="shared" si="4"/>
        <v>0</v>
      </c>
      <c r="Z242" s="209"/>
      <c r="AA242" s="209"/>
      <c r="AB242" s="209"/>
      <c r="AC242" s="210">
        <f t="shared" si="5"/>
        <v>0</v>
      </c>
      <c r="AD242" s="211"/>
      <c r="AE242" s="211"/>
      <c r="AF242" s="211"/>
    </row>
    <row r="243" spans="1:38" s="20" customFormat="1" ht="29.25" customHeight="1">
      <c r="A243" s="195" t="str">
        <f>'[1]3.LRA'!C34</f>
        <v>Pendapatan Lainnya</v>
      </c>
      <c r="B243" s="196"/>
      <c r="C243" s="197"/>
      <c r="D243" s="187">
        <f>'[1]3.LRA'!D34</f>
        <v>0</v>
      </c>
      <c r="E243" s="188"/>
      <c r="F243" s="188"/>
      <c r="G243" s="188"/>
      <c r="H243" s="188"/>
      <c r="I243" s="189"/>
      <c r="J243" s="187">
        <f>'[1]3.LRA'!E34</f>
        <v>0</v>
      </c>
      <c r="K243" s="188"/>
      <c r="L243" s="188"/>
      <c r="M243" s="188"/>
      <c r="N243" s="189"/>
      <c r="O243" s="187">
        <f>'[1]3.LRA'!I34</f>
        <v>0</v>
      </c>
      <c r="P243" s="188"/>
      <c r="Q243" s="188"/>
      <c r="R243" s="188"/>
      <c r="S243" s="189"/>
      <c r="T243" s="193"/>
      <c r="U243" s="194"/>
      <c r="V243" s="204" t="e">
        <f t="shared" si="6"/>
        <v>#DIV/0!</v>
      </c>
      <c r="W243" s="205"/>
      <c r="X243" s="205"/>
      <c r="Y243" s="208">
        <f t="shared" si="4"/>
        <v>0</v>
      </c>
      <c r="Z243" s="209"/>
      <c r="AA243" s="209"/>
      <c r="AB243" s="209"/>
      <c r="AC243" s="210">
        <f t="shared" si="5"/>
        <v>0</v>
      </c>
      <c r="AD243" s="211"/>
      <c r="AE243" s="211"/>
      <c r="AF243" s="211"/>
    </row>
    <row r="244" spans="1:38" s="20" customFormat="1" ht="26.25" customHeight="1">
      <c r="A244" s="215" t="s">
        <v>143</v>
      </c>
      <c r="B244" s="216"/>
      <c r="C244" s="217"/>
      <c r="D244" s="218">
        <f>D240+D236+D231</f>
        <v>290000000</v>
      </c>
      <c r="E244" s="219"/>
      <c r="F244" s="219"/>
      <c r="G244" s="219"/>
      <c r="H244" s="219"/>
      <c r="I244" s="220"/>
      <c r="J244" s="218">
        <f>J240+J236+J231</f>
        <v>534830700</v>
      </c>
      <c r="K244" s="219"/>
      <c r="L244" s="219"/>
      <c r="M244" s="219"/>
      <c r="N244" s="220"/>
      <c r="O244" s="218">
        <f>O240+O236+O231</f>
        <v>1043240650</v>
      </c>
      <c r="P244" s="219"/>
      <c r="Q244" s="219"/>
      <c r="R244" s="219"/>
      <c r="S244" s="220"/>
      <c r="T244" s="221">
        <f>(J244-O244)/O244*100</f>
        <v>-48.733717383424427</v>
      </c>
      <c r="U244" s="222"/>
      <c r="V244" s="204" t="e">
        <f t="shared" si="6"/>
        <v>#DIV/0!</v>
      </c>
      <c r="W244" s="205"/>
      <c r="X244" s="205"/>
      <c r="Y244" s="208">
        <f t="shared" si="4"/>
        <v>0</v>
      </c>
      <c r="Z244" s="209"/>
      <c r="AA244" s="209"/>
      <c r="AB244" s="209"/>
      <c r="AC244" s="210">
        <f t="shared" si="5"/>
        <v>0</v>
      </c>
      <c r="AD244" s="211"/>
      <c r="AE244" s="211"/>
      <c r="AF244" s="211"/>
    </row>
    <row r="245" spans="1:38" s="20" customFormat="1" ht="16.5" customHeight="1">
      <c r="A245" s="18"/>
      <c r="B245" s="27"/>
      <c r="C245" s="27"/>
      <c r="D245" s="163"/>
      <c r="E245" s="164"/>
      <c r="F245" s="164"/>
      <c r="G245" s="164"/>
      <c r="H245" s="164"/>
      <c r="I245" s="164"/>
      <c r="J245" s="164"/>
      <c r="K245" s="164"/>
      <c r="L245" s="164"/>
      <c r="M245" s="164"/>
      <c r="N245" s="164"/>
      <c r="O245" s="164"/>
      <c r="P245" s="164"/>
      <c r="Q245" s="164"/>
      <c r="R245" s="164"/>
      <c r="S245" s="164"/>
      <c r="T245" s="46"/>
      <c r="U245" s="46"/>
      <c r="V245" s="204" t="e">
        <f t="shared" si="6"/>
        <v>#DIV/0!</v>
      </c>
      <c r="W245" s="205"/>
      <c r="X245" s="205"/>
      <c r="Y245" s="208">
        <f t="shared" si="4"/>
        <v>0</v>
      </c>
      <c r="Z245" s="209"/>
      <c r="AA245" s="209"/>
      <c r="AB245" s="209"/>
      <c r="AC245" s="210">
        <f t="shared" si="5"/>
        <v>0</v>
      </c>
      <c r="AD245" s="211"/>
      <c r="AE245" s="211"/>
      <c r="AF245" s="211"/>
    </row>
    <row r="246" spans="1:38" s="20" customFormat="1" ht="56.25" customHeight="1">
      <c r="A246" s="18"/>
      <c r="C246" s="157" t="str">
        <f>"Realisasi Pendapatan  TA "&amp;'[1]2.ISIAN DATA SKPD'!D11&amp;" mengalami penurunan sebesar "&amp;FIXED('[1]3.LRA'!K18)&amp;"% dibandingkan TA "&amp;'[1]2.ISIAN DATA SKPD'!D12&amp;" atau sebesar Rp. "&amp;FIXED('[1]2.ISIAN DATA SKPD'!K16)&amp;""</f>
        <v>Realisasi Pendapatan  TA 2017 mengalami penurunan sebesar -48.73% dibandingkan TA 2016 atau sebesar Rp. -508,409,950.00</v>
      </c>
      <c r="D246" s="157"/>
      <c r="E246" s="157"/>
      <c r="F246" s="157"/>
      <c r="G246" s="157"/>
      <c r="H246" s="157"/>
      <c r="I246" s="157"/>
      <c r="J246" s="157"/>
      <c r="K246" s="157"/>
      <c r="L246" s="157"/>
      <c r="M246" s="157"/>
      <c r="N246" s="157"/>
      <c r="O246" s="157"/>
      <c r="P246" s="157"/>
      <c r="Q246" s="157"/>
      <c r="R246" s="157"/>
      <c r="S246" s="157"/>
      <c r="T246" s="157"/>
      <c r="U246" s="157"/>
      <c r="V246" s="204" t="e">
        <f t="shared" si="6"/>
        <v>#DIV/0!</v>
      </c>
      <c r="W246" s="205"/>
      <c r="X246" s="205"/>
      <c r="Y246" s="208">
        <f t="shared" si="4"/>
        <v>0</v>
      </c>
      <c r="Z246" s="209"/>
      <c r="AA246" s="209"/>
      <c r="AB246" s="209"/>
      <c r="AC246" s="210">
        <f t="shared" si="5"/>
        <v>0</v>
      </c>
      <c r="AD246" s="211"/>
      <c r="AE246" s="211"/>
      <c r="AF246" s="211"/>
    </row>
    <row r="247" spans="1:38" s="20" customFormat="1" ht="35.25" customHeight="1">
      <c r="A247" s="18"/>
      <c r="C247" s="157" t="s">
        <v>144</v>
      </c>
      <c r="D247" s="157"/>
      <c r="E247" s="157"/>
      <c r="F247" s="157"/>
      <c r="G247" s="157"/>
      <c r="H247" s="157"/>
      <c r="I247" s="157"/>
      <c r="J247" s="157"/>
      <c r="K247" s="157"/>
      <c r="L247" s="157"/>
      <c r="M247" s="157"/>
      <c r="N247" s="157"/>
      <c r="O247" s="157"/>
      <c r="P247" s="157"/>
      <c r="Q247" s="157"/>
      <c r="R247" s="157"/>
      <c r="S247" s="157"/>
      <c r="T247" s="157"/>
      <c r="U247" s="157"/>
      <c r="V247" s="204">
        <f t="shared" si="6"/>
        <v>184.42437931034482</v>
      </c>
      <c r="W247" s="205"/>
      <c r="X247" s="205"/>
      <c r="Y247" s="208">
        <f t="shared" si="4"/>
        <v>-244830700</v>
      </c>
      <c r="Z247" s="209"/>
      <c r="AA247" s="209"/>
      <c r="AB247" s="209"/>
      <c r="AC247" s="210">
        <f t="shared" si="5"/>
        <v>-508409950</v>
      </c>
      <c r="AD247" s="211"/>
      <c r="AE247" s="211"/>
      <c r="AF247" s="211"/>
    </row>
    <row r="248" spans="1:38" s="20" customFormat="1" ht="4.5" customHeight="1">
      <c r="A248" s="18"/>
      <c r="B248" s="164"/>
      <c r="C248" s="164"/>
      <c r="D248" s="164"/>
      <c r="E248" s="164"/>
      <c r="F248" s="164"/>
      <c r="G248" s="164"/>
      <c r="H248" s="164"/>
      <c r="I248" s="164"/>
      <c r="J248" s="164"/>
      <c r="K248" s="164"/>
      <c r="L248" s="164"/>
      <c r="M248" s="164"/>
      <c r="N248" s="164"/>
      <c r="O248" s="164"/>
      <c r="P248" s="164"/>
      <c r="Q248" s="164"/>
      <c r="R248" s="164"/>
      <c r="S248" s="164"/>
      <c r="T248" s="46"/>
      <c r="U248" s="46"/>
      <c r="V248" s="27"/>
    </row>
    <row r="249" spans="1:38" s="20" customFormat="1" ht="18" customHeight="1">
      <c r="A249" s="18"/>
      <c r="C249" s="223" t="s">
        <v>119</v>
      </c>
      <c r="D249" s="224" t="s">
        <v>132</v>
      </c>
      <c r="E249" s="224"/>
      <c r="F249" s="224"/>
      <c r="G249" s="224"/>
      <c r="H249" s="224"/>
      <c r="I249" s="224"/>
      <c r="J249" s="224"/>
      <c r="K249" s="224"/>
      <c r="L249" s="224"/>
      <c r="M249" s="224"/>
      <c r="N249" s="224"/>
      <c r="O249" s="224"/>
      <c r="P249" s="224"/>
      <c r="Q249" s="224"/>
      <c r="R249" s="224"/>
      <c r="S249" s="224"/>
      <c r="T249" s="224"/>
      <c r="U249" s="224"/>
      <c r="V249" s="27"/>
    </row>
    <row r="250" spans="1:38" s="20" customFormat="1" ht="67.5" customHeight="1">
      <c r="A250" s="18"/>
      <c r="B250" s="223"/>
      <c r="D250" s="157" t="str">
        <f>"Realisasi Pendapatan Asli Daerah TA "&amp;'[1]2.ISIAN DATA SKPD'!D11&amp;" adalah sebesar Rp. "&amp;FIXED(J244) &amp;" atau mencapai  "&amp;FIXED(V247)&amp;"% dari estimasi pendapatan yang ditetapkan sebesar Rp. "&amp;FIXED(D244)&amp;" lebih dari anggaran sebesar Rp. "&amp;FIXED('[1]3.LRA'!G18)&amp;"."</f>
        <v>Realisasi Pendapatan Asli Daerah TA 2017 adalah sebesar Rp. 534,830,700.00 atau mencapai  184.42% dari estimasi pendapatan yang ditetapkan sebesar Rp. 290,000,000.00 lebih dari anggaran sebesar Rp. 244,830,700.00.</v>
      </c>
      <c r="E250" s="157"/>
      <c r="F250" s="157"/>
      <c r="G250" s="157"/>
      <c r="H250" s="157"/>
      <c r="I250" s="157"/>
      <c r="J250" s="157"/>
      <c r="K250" s="157"/>
      <c r="L250" s="157"/>
      <c r="M250" s="157"/>
      <c r="N250" s="157"/>
      <c r="O250" s="157"/>
      <c r="P250" s="157"/>
      <c r="Q250" s="157"/>
      <c r="R250" s="157"/>
      <c r="S250" s="157"/>
      <c r="T250" s="157"/>
      <c r="U250" s="157"/>
      <c r="V250" s="27"/>
    </row>
    <row r="251" spans="1:38" s="20" customFormat="1" ht="29.25" customHeight="1">
      <c r="A251" s="18"/>
      <c r="B251" s="223"/>
      <c r="D251" s="157" t="s">
        <v>145</v>
      </c>
      <c r="E251" s="157"/>
      <c r="F251" s="157"/>
      <c r="G251" s="157"/>
      <c r="H251" s="157"/>
      <c r="I251" s="157"/>
      <c r="J251" s="157"/>
      <c r="K251" s="157"/>
      <c r="L251" s="157"/>
      <c r="M251" s="157"/>
      <c r="N251" s="157"/>
      <c r="O251" s="157"/>
      <c r="P251" s="157"/>
      <c r="Q251" s="157"/>
      <c r="R251" s="157"/>
      <c r="S251" s="157"/>
      <c r="T251" s="157"/>
      <c r="U251" s="157"/>
      <c r="V251" s="27"/>
    </row>
    <row r="252" spans="1:38" s="20" customFormat="1" ht="18" customHeight="1">
      <c r="A252" s="18"/>
      <c r="B252" s="223"/>
      <c r="D252" s="225"/>
      <c r="E252" s="225"/>
      <c r="F252" s="225"/>
      <c r="G252" s="225"/>
      <c r="H252" s="225"/>
      <c r="I252" s="225"/>
      <c r="J252" s="225"/>
      <c r="K252" s="225"/>
      <c r="L252" s="225"/>
      <c r="M252" s="225"/>
      <c r="N252" s="225"/>
      <c r="O252" s="225"/>
      <c r="P252" s="225"/>
      <c r="Q252" s="225"/>
      <c r="R252" s="225"/>
      <c r="S252" s="225"/>
      <c r="T252" s="225"/>
      <c r="U252" s="225"/>
      <c r="V252" s="27"/>
    </row>
    <row r="253" spans="1:38" s="20" customFormat="1" ht="21.75" customHeight="1">
      <c r="A253" s="168" t="s">
        <v>84</v>
      </c>
      <c r="B253" s="226"/>
      <c r="C253" s="227"/>
      <c r="D253" s="171">
        <f>D229</f>
        <v>2017</v>
      </c>
      <c r="E253" s="172"/>
      <c r="F253" s="172"/>
      <c r="G253" s="172"/>
      <c r="H253" s="172"/>
      <c r="I253" s="172"/>
      <c r="J253" s="172"/>
      <c r="K253" s="172"/>
      <c r="L253" s="172"/>
      <c r="M253" s="172"/>
      <c r="N253" s="173"/>
      <c r="O253" s="174">
        <f>'[1]2.ISIAN DATA SKPD'!D12</f>
        <v>2016</v>
      </c>
      <c r="P253" s="175"/>
      <c r="Q253" s="175"/>
      <c r="R253" s="175"/>
      <c r="S253" s="176"/>
      <c r="T253" s="177" t="s">
        <v>129</v>
      </c>
      <c r="U253" s="178"/>
      <c r="V253" s="157"/>
      <c r="W253" s="157"/>
      <c r="X253" s="157"/>
      <c r="Y253" s="157"/>
      <c r="Z253" s="157"/>
      <c r="AA253" s="157"/>
      <c r="AB253" s="157"/>
      <c r="AC253" s="157"/>
      <c r="AD253" s="157"/>
      <c r="AE253" s="157"/>
      <c r="AF253" s="157"/>
      <c r="AG253" s="157"/>
      <c r="AH253" s="157"/>
      <c r="AI253" s="157"/>
      <c r="AJ253" s="157"/>
      <c r="AK253" s="157"/>
      <c r="AL253" s="157"/>
    </row>
    <row r="254" spans="1:38" s="20" customFormat="1" ht="23.25" customHeight="1">
      <c r="A254" s="228"/>
      <c r="B254" s="229"/>
      <c r="C254" s="230"/>
      <c r="D254" s="171" t="s">
        <v>130</v>
      </c>
      <c r="E254" s="172"/>
      <c r="F254" s="172"/>
      <c r="G254" s="172"/>
      <c r="H254" s="172"/>
      <c r="I254" s="173"/>
      <c r="J254" s="174" t="s">
        <v>131</v>
      </c>
      <c r="K254" s="175"/>
      <c r="L254" s="175"/>
      <c r="M254" s="175"/>
      <c r="N254" s="176"/>
      <c r="O254" s="174" t="s">
        <v>131</v>
      </c>
      <c r="P254" s="175"/>
      <c r="Q254" s="175"/>
      <c r="R254" s="175"/>
      <c r="S254" s="176"/>
      <c r="T254" s="182"/>
      <c r="U254" s="183"/>
      <c r="V254" s="27"/>
    </row>
    <row r="255" spans="1:38" s="20" customFormat="1" ht="18" customHeight="1">
      <c r="A255" s="231" t="s">
        <v>133</v>
      </c>
      <c r="B255" s="232"/>
      <c r="C255" s="233"/>
      <c r="D255" s="234">
        <f>'[1]3.LRA'!D20</f>
        <v>0</v>
      </c>
      <c r="E255" s="235"/>
      <c r="F255" s="235"/>
      <c r="G255" s="235"/>
      <c r="H255" s="235"/>
      <c r="I255" s="236"/>
      <c r="J255" s="237">
        <f>'[1]3.LRA'!E20</f>
        <v>0</v>
      </c>
      <c r="K255" s="238"/>
      <c r="L255" s="238"/>
      <c r="M255" s="238"/>
      <c r="N255" s="239"/>
      <c r="O255" s="240">
        <f>'[1]3.LRA'!I20</f>
        <v>0</v>
      </c>
      <c r="P255" s="241"/>
      <c r="Q255" s="241"/>
      <c r="R255" s="241"/>
      <c r="S255" s="242"/>
      <c r="T255" s="193"/>
      <c r="U255" s="194"/>
      <c r="V255" s="27"/>
    </row>
    <row r="256" spans="1:38" s="20" customFormat="1" ht="15" customHeight="1">
      <c r="A256" s="231" t="s">
        <v>134</v>
      </c>
      <c r="B256" s="232"/>
      <c r="C256" s="233"/>
      <c r="D256" s="187">
        <f>'[1]3.LRA'!D21</f>
        <v>185000000</v>
      </c>
      <c r="E256" s="188"/>
      <c r="F256" s="188"/>
      <c r="G256" s="188"/>
      <c r="H256" s="188"/>
      <c r="I256" s="189"/>
      <c r="J256" s="243">
        <f>'[1]3.LRA'!E21</f>
        <v>188721200</v>
      </c>
      <c r="K256" s="244"/>
      <c r="L256" s="244"/>
      <c r="M256" s="244"/>
      <c r="N256" s="245"/>
      <c r="O256" s="246">
        <f>'[1]3.LRA'!I21</f>
        <v>95949000</v>
      </c>
      <c r="P256" s="247"/>
      <c r="Q256" s="247"/>
      <c r="R256" s="247"/>
      <c r="S256" s="248"/>
      <c r="T256" s="193">
        <f>(J256-O256)/O256*100</f>
        <v>96.689074404110514</v>
      </c>
      <c r="U256" s="194"/>
      <c r="V256" s="27"/>
    </row>
    <row r="257" spans="1:38" s="20" customFormat="1" ht="15" customHeight="1">
      <c r="A257" s="195" t="s">
        <v>139</v>
      </c>
      <c r="B257" s="196"/>
      <c r="C257" s="197"/>
      <c r="D257" s="187">
        <f>'[1]3.LRA'!D22</f>
        <v>0</v>
      </c>
      <c r="E257" s="188"/>
      <c r="F257" s="188"/>
      <c r="G257" s="188"/>
      <c r="H257" s="188"/>
      <c r="I257" s="189"/>
      <c r="J257" s="243">
        <f>'[1]3.LRA'!E22</f>
        <v>0</v>
      </c>
      <c r="K257" s="244"/>
      <c r="L257" s="244"/>
      <c r="M257" s="244"/>
      <c r="N257" s="245"/>
      <c r="O257" s="246">
        <f>'[1]3.LRA'!I22</f>
        <v>223926000</v>
      </c>
      <c r="P257" s="247"/>
      <c r="Q257" s="247"/>
      <c r="R257" s="247"/>
      <c r="S257" s="248"/>
      <c r="T257" s="193">
        <f>(J257-O257)/O257*100</f>
        <v>-100</v>
      </c>
      <c r="U257" s="194"/>
      <c r="V257" s="27"/>
    </row>
    <row r="258" spans="1:38" s="20" customFormat="1" ht="18.75" customHeight="1">
      <c r="A258" s="195" t="s">
        <v>140</v>
      </c>
      <c r="B258" s="196"/>
      <c r="C258" s="197"/>
      <c r="D258" s="187">
        <f>D259</f>
        <v>105000000</v>
      </c>
      <c r="E258" s="188"/>
      <c r="F258" s="188"/>
      <c r="G258" s="188"/>
      <c r="H258" s="188"/>
      <c r="I258" s="189"/>
      <c r="J258" s="249">
        <f>J259</f>
        <v>346109500</v>
      </c>
      <c r="K258" s="250"/>
      <c r="L258" s="250"/>
      <c r="M258" s="250"/>
      <c r="N258" s="251"/>
      <c r="O258" s="246">
        <f>O259</f>
        <v>723365650</v>
      </c>
      <c r="P258" s="247"/>
      <c r="Q258" s="247"/>
      <c r="R258" s="247"/>
      <c r="S258" s="248"/>
      <c r="T258" s="193">
        <f>(J258-O258)/O258*100</f>
        <v>-52.152898053702167</v>
      </c>
      <c r="U258" s="194"/>
      <c r="V258" s="27"/>
    </row>
    <row r="259" spans="1:38" s="20" customFormat="1" ht="18.75" customHeight="1">
      <c r="A259" s="195" t="s">
        <v>146</v>
      </c>
      <c r="B259" s="196"/>
      <c r="C259" s="197"/>
      <c r="D259" s="187">
        <f>'[1]3.LRA'!D23</f>
        <v>105000000</v>
      </c>
      <c r="E259" s="188"/>
      <c r="F259" s="188"/>
      <c r="G259" s="188"/>
      <c r="H259" s="188"/>
      <c r="I259" s="189"/>
      <c r="J259" s="243">
        <f>'[1]3.LRA'!E23</f>
        <v>346109500</v>
      </c>
      <c r="K259" s="244"/>
      <c r="L259" s="244"/>
      <c r="M259" s="244"/>
      <c r="N259" s="245"/>
      <c r="O259" s="246">
        <f>'[1]3.LRA'!I23</f>
        <v>723365650</v>
      </c>
      <c r="P259" s="247"/>
      <c r="Q259" s="247"/>
      <c r="R259" s="247"/>
      <c r="S259" s="248"/>
      <c r="T259" s="193">
        <f>(J259-O259)/O259*100</f>
        <v>-52.152898053702167</v>
      </c>
      <c r="U259" s="194"/>
      <c r="V259" s="27"/>
    </row>
    <row r="260" spans="1:38" s="20" customFormat="1" ht="22.5" customHeight="1">
      <c r="A260" s="215" t="s">
        <v>143</v>
      </c>
      <c r="B260" s="216"/>
      <c r="C260" s="217"/>
      <c r="D260" s="252">
        <f>SUM(D255:I258)</f>
        <v>290000000</v>
      </c>
      <c r="E260" s="253"/>
      <c r="F260" s="253"/>
      <c r="G260" s="253"/>
      <c r="H260" s="253"/>
      <c r="I260" s="254"/>
      <c r="J260" s="252">
        <f>SUM(J255:N258)</f>
        <v>534830700</v>
      </c>
      <c r="K260" s="253"/>
      <c r="L260" s="253"/>
      <c r="M260" s="253"/>
      <c r="N260" s="254"/>
      <c r="O260" s="255">
        <f>SUM(O255:S258)</f>
        <v>1043240650</v>
      </c>
      <c r="P260" s="256"/>
      <c r="Q260" s="256"/>
      <c r="R260" s="256"/>
      <c r="S260" s="257"/>
      <c r="T260" s="193">
        <f>(J260-O260)/O260*100</f>
        <v>-48.733717383424427</v>
      </c>
      <c r="U260" s="194"/>
      <c r="V260" s="27"/>
    </row>
    <row r="261" spans="1:38" s="20" customFormat="1" ht="4.5" customHeight="1">
      <c r="A261" s="18"/>
      <c r="B261" s="223"/>
      <c r="D261" s="225"/>
      <c r="E261" s="225"/>
      <c r="F261" s="225"/>
      <c r="G261" s="225"/>
      <c r="H261" s="225"/>
      <c r="I261" s="225"/>
      <c r="J261" s="225"/>
      <c r="K261" s="225"/>
      <c r="L261" s="225"/>
      <c r="M261" s="225"/>
      <c r="N261" s="225"/>
      <c r="O261" s="225"/>
      <c r="P261" s="225"/>
      <c r="Q261" s="225"/>
      <c r="R261" s="225"/>
      <c r="S261" s="225"/>
      <c r="T261" s="225"/>
      <c r="U261" s="225"/>
      <c r="V261" s="27"/>
    </row>
    <row r="262" spans="1:38" s="20" customFormat="1" ht="53.25" customHeight="1">
      <c r="A262" s="18"/>
      <c r="D262" s="157" t="str">
        <f>"Realisasi Pendapatan Asli Daerah TA "&amp;'[1]2.ISIAN DATA SKPD'!D11&amp;" sebesar Rp. "&amp;FIXED('[1]3.LRA'!E18)&amp;" mengalami penurunan sebesar "&amp;FIXED('[1]3.LRA'!K18)&amp;" % bila dibandingkan tahun anggaran "&amp;'[1]2.ISIAN DATA SKPD'!D12</f>
        <v>Realisasi Pendapatan Asli Daerah TA 2017 sebesar Rp. 534,830,700.00 mengalami penurunan sebesar -48.73 % bila dibandingkan tahun anggaran 2016</v>
      </c>
      <c r="E262" s="157"/>
      <c r="F262" s="157"/>
      <c r="G262" s="157"/>
      <c r="H262" s="157"/>
      <c r="I262" s="157"/>
      <c r="J262" s="157"/>
      <c r="K262" s="157"/>
      <c r="L262" s="157"/>
      <c r="M262" s="157"/>
      <c r="N262" s="157"/>
      <c r="O262" s="157"/>
      <c r="P262" s="157"/>
      <c r="Q262" s="157"/>
      <c r="R262" s="157"/>
      <c r="S262" s="157"/>
      <c r="T262" s="157"/>
      <c r="U262" s="157"/>
      <c r="V262" s="27"/>
    </row>
    <row r="263" spans="1:38" s="20" customFormat="1" ht="7.5" customHeight="1">
      <c r="A263" s="18"/>
      <c r="D263" s="225"/>
      <c r="E263" s="225"/>
      <c r="F263" s="225"/>
      <c r="G263" s="225"/>
      <c r="H263" s="225"/>
      <c r="I263" s="225"/>
      <c r="J263" s="225"/>
      <c r="K263" s="225"/>
      <c r="L263" s="225"/>
      <c r="M263" s="225"/>
      <c r="N263" s="225"/>
      <c r="O263" s="225"/>
      <c r="P263" s="225"/>
      <c r="Q263" s="225"/>
      <c r="R263" s="225"/>
      <c r="S263" s="225"/>
      <c r="T263" s="225"/>
      <c r="U263" s="225"/>
      <c r="V263" s="27"/>
    </row>
    <row r="264" spans="1:38" s="20" customFormat="1" ht="21.75" customHeight="1">
      <c r="A264" s="18"/>
      <c r="D264" s="258" t="s">
        <v>5</v>
      </c>
      <c r="E264" s="259" t="s">
        <v>133</v>
      </c>
      <c r="F264" s="259"/>
      <c r="G264" s="259"/>
      <c r="H264" s="259"/>
      <c r="I264" s="259"/>
      <c r="J264" s="259"/>
      <c r="K264" s="259"/>
      <c r="L264" s="259"/>
      <c r="M264" s="259"/>
      <c r="N264" s="259"/>
      <c r="O264" s="259"/>
      <c r="P264" s="259"/>
      <c r="Q264" s="259"/>
      <c r="R264" s="259"/>
      <c r="S264" s="259"/>
      <c r="T264" s="259"/>
      <c r="U264" s="259"/>
      <c r="V264" s="27"/>
    </row>
    <row r="265" spans="1:38" s="20" customFormat="1" ht="31.5" customHeight="1">
      <c r="A265" s="18"/>
      <c r="D265" s="96"/>
      <c r="E265" s="157" t="str">
        <f>"Realisasi Pajak Daerah TA "&amp;'[1]2.ISIAN DATA SKPD'!D11&amp;" adalah sebesar Rp. "&amp;FIXED(P278) &amp;", adapun rincian Pajak Daerah sebagai berikut :"</f>
        <v>Realisasi Pajak Daerah TA 2017 adalah sebesar Rp. 0.00, adapun rincian Pajak Daerah sebagai berikut :</v>
      </c>
      <c r="F265" s="157"/>
      <c r="G265" s="157"/>
      <c r="H265" s="157"/>
      <c r="I265" s="157"/>
      <c r="J265" s="157"/>
      <c r="K265" s="157"/>
      <c r="L265" s="157"/>
      <c r="M265" s="157"/>
      <c r="N265" s="157"/>
      <c r="O265" s="157"/>
      <c r="P265" s="157"/>
      <c r="Q265" s="157"/>
      <c r="R265" s="157"/>
      <c r="S265" s="157"/>
      <c r="T265" s="157"/>
      <c r="U265" s="157"/>
      <c r="V265" s="94"/>
      <c r="W265" s="94"/>
      <c r="X265" s="94"/>
      <c r="Y265" s="94"/>
      <c r="Z265" s="94"/>
      <c r="AA265" s="94"/>
      <c r="AB265" s="94"/>
      <c r="AC265" s="94"/>
      <c r="AD265" s="94"/>
      <c r="AE265" s="94"/>
      <c r="AF265" s="94"/>
      <c r="AG265" s="94"/>
      <c r="AH265" s="94"/>
      <c r="AI265" s="94"/>
      <c r="AJ265" s="94"/>
      <c r="AK265" s="94"/>
      <c r="AL265" s="94"/>
    </row>
    <row r="266" spans="1:38" s="20" customFormat="1" ht="17.25" customHeight="1">
      <c r="A266" s="18"/>
      <c r="D266" s="96"/>
      <c r="E266" s="225"/>
      <c r="F266" s="225"/>
      <c r="G266" s="225"/>
      <c r="H266" s="225"/>
      <c r="I266" s="225"/>
      <c r="J266" s="225"/>
      <c r="K266" s="225"/>
      <c r="L266" s="225"/>
      <c r="M266" s="225"/>
      <c r="N266" s="225"/>
      <c r="O266" s="225"/>
      <c r="P266" s="225"/>
      <c r="Q266" s="225"/>
      <c r="R266" s="225"/>
      <c r="S266" s="225"/>
      <c r="T266" s="225"/>
      <c r="U266" s="225"/>
      <c r="V266" s="96"/>
      <c r="W266" s="96"/>
      <c r="X266" s="96"/>
      <c r="Y266" s="96"/>
      <c r="Z266" s="96"/>
      <c r="AA266" s="96"/>
      <c r="AB266" s="96"/>
      <c r="AC266" s="96"/>
      <c r="AD266" s="96"/>
      <c r="AE266" s="96"/>
      <c r="AF266" s="96"/>
      <c r="AG266" s="96"/>
      <c r="AH266" s="96"/>
      <c r="AI266" s="96"/>
      <c r="AJ266" s="96"/>
      <c r="AK266" s="96"/>
      <c r="AL266" s="96"/>
    </row>
    <row r="267" spans="1:38" s="20" customFormat="1" ht="18.75" customHeight="1">
      <c r="A267" s="18"/>
      <c r="E267" s="260" t="s">
        <v>147</v>
      </c>
      <c r="F267" s="260"/>
      <c r="G267" s="260" t="s">
        <v>133</v>
      </c>
      <c r="H267" s="260"/>
      <c r="I267" s="260"/>
      <c r="J267" s="260"/>
      <c r="K267" s="260"/>
      <c r="L267" s="260"/>
      <c r="M267" s="260"/>
      <c r="N267" s="260"/>
      <c r="O267" s="260"/>
      <c r="P267" s="261" t="s">
        <v>131</v>
      </c>
      <c r="Q267" s="261"/>
      <c r="R267" s="261"/>
      <c r="S267" s="261"/>
      <c r="T267" s="261"/>
      <c r="U267" s="261"/>
      <c r="V267" s="27"/>
    </row>
    <row r="268" spans="1:38" s="20" customFormat="1" ht="19.5" customHeight="1">
      <c r="A268" s="18"/>
      <c r="E268" s="262">
        <v>1</v>
      </c>
      <c r="F268" s="262"/>
      <c r="G268" s="263" t="s">
        <v>148</v>
      </c>
      <c r="H268" s="263"/>
      <c r="I268" s="263"/>
      <c r="J268" s="263"/>
      <c r="K268" s="263"/>
      <c r="L268" s="263"/>
      <c r="M268" s="263"/>
      <c r="N268" s="263"/>
      <c r="O268" s="263"/>
      <c r="P268" s="264">
        <v>0</v>
      </c>
      <c r="Q268" s="264"/>
      <c r="R268" s="264"/>
      <c r="S268" s="264"/>
      <c r="T268" s="264"/>
      <c r="U268" s="264"/>
      <c r="V268" s="265"/>
    </row>
    <row r="269" spans="1:38" s="20" customFormat="1" ht="18" customHeight="1">
      <c r="A269" s="18"/>
      <c r="E269" s="262">
        <v>2</v>
      </c>
      <c r="F269" s="262"/>
      <c r="G269" s="263" t="s">
        <v>149</v>
      </c>
      <c r="H269" s="263"/>
      <c r="I269" s="263"/>
      <c r="J269" s="263"/>
      <c r="K269" s="263"/>
      <c r="L269" s="263"/>
      <c r="M269" s="263"/>
      <c r="N269" s="263"/>
      <c r="O269" s="263"/>
      <c r="P269" s="264">
        <v>0</v>
      </c>
      <c r="Q269" s="264"/>
      <c r="R269" s="264"/>
      <c r="S269" s="264"/>
      <c r="T269" s="264"/>
      <c r="U269" s="264"/>
      <c r="V269" s="265"/>
    </row>
    <row r="270" spans="1:38" s="20" customFormat="1" ht="19.5" customHeight="1">
      <c r="A270" s="18"/>
      <c r="E270" s="262">
        <v>3</v>
      </c>
      <c r="F270" s="262"/>
      <c r="G270" s="263" t="s">
        <v>150</v>
      </c>
      <c r="H270" s="263"/>
      <c r="I270" s="263"/>
      <c r="J270" s="263"/>
      <c r="K270" s="263"/>
      <c r="L270" s="263"/>
      <c r="M270" s="263"/>
      <c r="N270" s="263"/>
      <c r="O270" s="263"/>
      <c r="P270" s="264">
        <v>0</v>
      </c>
      <c r="Q270" s="264"/>
      <c r="R270" s="264"/>
      <c r="S270" s="264"/>
      <c r="T270" s="264"/>
      <c r="U270" s="264"/>
      <c r="V270" s="27"/>
    </row>
    <row r="271" spans="1:38" s="20" customFormat="1" ht="13.5" customHeight="1">
      <c r="A271" s="18"/>
      <c r="E271" s="262">
        <v>4</v>
      </c>
      <c r="F271" s="262"/>
      <c r="G271" s="263" t="s">
        <v>151</v>
      </c>
      <c r="H271" s="263"/>
      <c r="I271" s="263"/>
      <c r="J271" s="263"/>
      <c r="K271" s="263"/>
      <c r="L271" s="263"/>
      <c r="M271" s="263"/>
      <c r="N271" s="263"/>
      <c r="O271" s="263"/>
      <c r="P271" s="264">
        <v>0</v>
      </c>
      <c r="Q271" s="264"/>
      <c r="R271" s="264"/>
      <c r="S271" s="264"/>
      <c r="T271" s="264"/>
      <c r="U271" s="264"/>
      <c r="V271" s="27"/>
    </row>
    <row r="272" spans="1:38" s="20" customFormat="1" ht="13.5" customHeight="1">
      <c r="A272" s="18"/>
      <c r="E272" s="262">
        <v>5</v>
      </c>
      <c r="F272" s="262"/>
      <c r="G272" s="263" t="s">
        <v>152</v>
      </c>
      <c r="H272" s="263"/>
      <c r="I272" s="263"/>
      <c r="J272" s="263"/>
      <c r="K272" s="263"/>
      <c r="L272" s="263"/>
      <c r="M272" s="263"/>
      <c r="N272" s="263"/>
      <c r="O272" s="263"/>
      <c r="P272" s="264">
        <v>0</v>
      </c>
      <c r="Q272" s="264"/>
      <c r="R272" s="264"/>
      <c r="S272" s="264"/>
      <c r="T272" s="264"/>
      <c r="U272" s="264"/>
      <c r="V272" s="27"/>
    </row>
    <row r="273" spans="1:22" s="20" customFormat="1" ht="13.5" customHeight="1">
      <c r="A273" s="18"/>
      <c r="E273" s="262">
        <v>6</v>
      </c>
      <c r="F273" s="262"/>
      <c r="G273" s="263" t="s">
        <v>153</v>
      </c>
      <c r="H273" s="263"/>
      <c r="I273" s="263"/>
      <c r="J273" s="263"/>
      <c r="K273" s="263"/>
      <c r="L273" s="263"/>
      <c r="M273" s="263"/>
      <c r="N273" s="263"/>
      <c r="O273" s="263"/>
      <c r="P273" s="264">
        <v>0</v>
      </c>
      <c r="Q273" s="264"/>
      <c r="R273" s="264"/>
      <c r="S273" s="264"/>
      <c r="T273" s="264"/>
      <c r="U273" s="264"/>
      <c r="V273" s="27"/>
    </row>
    <row r="274" spans="1:22" s="20" customFormat="1" ht="21" customHeight="1">
      <c r="A274" s="18"/>
      <c r="E274" s="262">
        <v>7</v>
      </c>
      <c r="F274" s="262"/>
      <c r="G274" s="263" t="s">
        <v>154</v>
      </c>
      <c r="H274" s="263"/>
      <c r="I274" s="263"/>
      <c r="J274" s="263"/>
      <c r="K274" s="263"/>
      <c r="L274" s="263"/>
      <c r="M274" s="263"/>
      <c r="N274" s="263"/>
      <c r="O274" s="263"/>
      <c r="P274" s="264">
        <v>0</v>
      </c>
      <c r="Q274" s="264"/>
      <c r="R274" s="264"/>
      <c r="S274" s="264"/>
      <c r="T274" s="264"/>
      <c r="U274" s="264"/>
      <c r="V274" s="27"/>
    </row>
    <row r="275" spans="1:22" s="20" customFormat="1" ht="36.75" customHeight="1">
      <c r="A275" s="18"/>
      <c r="E275" s="262">
        <v>8</v>
      </c>
      <c r="F275" s="262"/>
      <c r="G275" s="263" t="s">
        <v>155</v>
      </c>
      <c r="H275" s="263"/>
      <c r="I275" s="263"/>
      <c r="J275" s="263"/>
      <c r="K275" s="263"/>
      <c r="L275" s="263"/>
      <c r="M275" s="263"/>
      <c r="N275" s="263"/>
      <c r="O275" s="263"/>
      <c r="P275" s="264">
        <v>0</v>
      </c>
      <c r="Q275" s="264"/>
      <c r="R275" s="264"/>
      <c r="S275" s="264"/>
      <c r="T275" s="264"/>
      <c r="U275" s="264"/>
      <c r="V275" s="27"/>
    </row>
    <row r="276" spans="1:22" s="20" customFormat="1" ht="34.5" customHeight="1">
      <c r="A276" s="18"/>
      <c r="E276" s="262">
        <v>9</v>
      </c>
      <c r="F276" s="262"/>
      <c r="G276" s="263" t="s">
        <v>156</v>
      </c>
      <c r="H276" s="263"/>
      <c r="I276" s="263"/>
      <c r="J276" s="263"/>
      <c r="K276" s="263"/>
      <c r="L276" s="263"/>
      <c r="M276" s="263"/>
      <c r="N276" s="263"/>
      <c r="O276" s="263"/>
      <c r="P276" s="264">
        <v>0</v>
      </c>
      <c r="Q276" s="264"/>
      <c r="R276" s="264"/>
      <c r="S276" s="264"/>
      <c r="T276" s="264"/>
      <c r="U276" s="264"/>
      <c r="V276" s="27"/>
    </row>
    <row r="277" spans="1:22" s="20" customFormat="1" ht="33.75" customHeight="1">
      <c r="A277" s="18"/>
      <c r="E277" s="262">
        <v>10</v>
      </c>
      <c r="F277" s="262"/>
      <c r="G277" s="263" t="s">
        <v>157</v>
      </c>
      <c r="H277" s="263"/>
      <c r="I277" s="263"/>
      <c r="J277" s="263"/>
      <c r="K277" s="263"/>
      <c r="L277" s="263"/>
      <c r="M277" s="263"/>
      <c r="N277" s="263"/>
      <c r="O277" s="263"/>
      <c r="P277" s="264">
        <v>0</v>
      </c>
      <c r="Q277" s="264"/>
      <c r="R277" s="264"/>
      <c r="S277" s="264"/>
      <c r="T277" s="264"/>
      <c r="U277" s="264"/>
      <c r="V277" s="27"/>
    </row>
    <row r="278" spans="1:22" s="20" customFormat="1" ht="27.75" customHeight="1">
      <c r="A278" s="18"/>
      <c r="B278" s="164"/>
      <c r="C278" s="164"/>
      <c r="E278" s="266" t="s">
        <v>158</v>
      </c>
      <c r="F278" s="267"/>
      <c r="G278" s="267"/>
      <c r="H278" s="267"/>
      <c r="I278" s="267"/>
      <c r="J278" s="267"/>
      <c r="K278" s="267"/>
      <c r="L278" s="267"/>
      <c r="M278" s="267"/>
      <c r="N278" s="267"/>
      <c r="O278" s="268"/>
      <c r="P278" s="269">
        <f>SUM(P268:U277)</f>
        <v>0</v>
      </c>
      <c r="Q278" s="269"/>
      <c r="R278" s="269"/>
      <c r="S278" s="269"/>
      <c r="T278" s="269"/>
      <c r="U278" s="269"/>
      <c r="V278" s="27"/>
    </row>
    <row r="279" spans="1:22" s="20" customFormat="1" ht="20.25" customHeight="1">
      <c r="A279" s="18"/>
      <c r="B279" s="164"/>
      <c r="C279" s="164"/>
      <c r="D279" s="270"/>
      <c r="E279" s="271"/>
      <c r="F279" s="271"/>
      <c r="G279" s="271"/>
      <c r="H279" s="271"/>
      <c r="I279" s="271"/>
      <c r="J279" s="271"/>
      <c r="K279" s="271"/>
      <c r="L279" s="271"/>
      <c r="M279" s="272"/>
      <c r="N279" s="273"/>
      <c r="O279" s="273"/>
      <c r="P279" s="273"/>
      <c r="Q279" s="273"/>
      <c r="R279" s="164"/>
      <c r="S279" s="164"/>
      <c r="T279" s="46"/>
      <c r="U279" s="46"/>
      <c r="V279" s="27"/>
    </row>
    <row r="280" spans="1:22" s="20" customFormat="1" ht="26.25" customHeight="1">
      <c r="A280" s="18"/>
      <c r="B280" s="164"/>
      <c r="C280" s="164"/>
      <c r="D280" s="274" t="s">
        <v>7</v>
      </c>
      <c r="E280" s="94" t="s">
        <v>134</v>
      </c>
      <c r="F280" s="94"/>
      <c r="G280" s="94"/>
      <c r="H280" s="94"/>
      <c r="I280" s="94"/>
      <c r="J280" s="94"/>
      <c r="K280" s="94"/>
      <c r="L280" s="94"/>
      <c r="M280" s="94"/>
      <c r="N280" s="94"/>
      <c r="O280" s="94"/>
      <c r="P280" s="94"/>
      <c r="Q280" s="94"/>
      <c r="R280" s="94"/>
      <c r="S280" s="94"/>
      <c r="T280" s="94"/>
      <c r="U280" s="94"/>
      <c r="V280" s="27"/>
    </row>
    <row r="281" spans="1:22" s="20" customFormat="1" ht="47.25" customHeight="1">
      <c r="A281" s="18"/>
      <c r="B281" s="164"/>
      <c r="C281" s="164"/>
      <c r="D281" s="96"/>
      <c r="E281" s="157" t="str">
        <f>"Realisasi Retribusi Daerah  TA "&amp;'[1]2.ISIAN DATA SKPD'!D11&amp;" adalah sebesar Rp. "&amp;FIXED(P290) &amp;" Adapun rincian Retribusi Daerah  sebagai berikut :"</f>
        <v>Realisasi Retribusi Daerah  TA 2017 adalah sebesar Rp. 188,721,200.00 Adapun rincian Retribusi Daerah  sebagai berikut :</v>
      </c>
      <c r="F281" s="157"/>
      <c r="G281" s="157"/>
      <c r="H281" s="157"/>
      <c r="I281" s="157"/>
      <c r="J281" s="157"/>
      <c r="K281" s="157"/>
      <c r="L281" s="157"/>
      <c r="M281" s="157"/>
      <c r="N281" s="157"/>
      <c r="O281" s="157"/>
      <c r="P281" s="157"/>
      <c r="Q281" s="157"/>
      <c r="R281" s="157"/>
      <c r="S281" s="157"/>
      <c r="T281" s="157"/>
      <c r="U281" s="157"/>
      <c r="V281" s="27"/>
    </row>
    <row r="282" spans="1:22" s="20" customFormat="1" ht="4.5" customHeight="1">
      <c r="A282" s="18"/>
      <c r="B282" s="164"/>
      <c r="C282" s="164"/>
      <c r="D282" s="96"/>
      <c r="E282" s="225"/>
      <c r="F282" s="225"/>
      <c r="G282" s="225"/>
      <c r="H282" s="225"/>
      <c r="I282" s="225"/>
      <c r="J282" s="225"/>
      <c r="K282" s="225"/>
      <c r="L282" s="225"/>
      <c r="M282" s="225"/>
      <c r="N282" s="225"/>
      <c r="O282" s="225"/>
      <c r="P282" s="225"/>
      <c r="Q282" s="225"/>
      <c r="R282" s="225"/>
      <c r="S282" s="225"/>
      <c r="T282" s="225"/>
      <c r="U282" s="225"/>
      <c r="V282" s="27"/>
    </row>
    <row r="283" spans="1:22" s="20" customFormat="1" ht="20.25" customHeight="1">
      <c r="A283" s="18"/>
      <c r="B283" s="164"/>
      <c r="C283" s="164"/>
      <c r="E283" s="260" t="s">
        <v>147</v>
      </c>
      <c r="F283" s="260"/>
      <c r="G283" s="260" t="s">
        <v>134</v>
      </c>
      <c r="H283" s="260"/>
      <c r="I283" s="260"/>
      <c r="J283" s="260"/>
      <c r="K283" s="260"/>
      <c r="L283" s="260"/>
      <c r="M283" s="260"/>
      <c r="N283" s="260"/>
      <c r="O283" s="260"/>
      <c r="P283" s="261" t="s">
        <v>131</v>
      </c>
      <c r="Q283" s="261"/>
      <c r="R283" s="261"/>
      <c r="S283" s="261"/>
      <c r="T283" s="261"/>
      <c r="U283" s="261"/>
      <c r="V283" s="27"/>
    </row>
    <row r="284" spans="1:22" s="20" customFormat="1" ht="20.25" customHeight="1">
      <c r="A284" s="18"/>
      <c r="B284" s="164"/>
      <c r="C284" s="164"/>
      <c r="E284" s="262">
        <v>1</v>
      </c>
      <c r="F284" s="262"/>
      <c r="G284" s="263" t="s">
        <v>159</v>
      </c>
      <c r="H284" s="263"/>
      <c r="I284" s="263"/>
      <c r="J284" s="263"/>
      <c r="K284" s="263"/>
      <c r="L284" s="263"/>
      <c r="M284" s="263"/>
      <c r="N284" s="263"/>
      <c r="O284" s="263"/>
      <c r="P284" s="275">
        <v>0</v>
      </c>
      <c r="Q284" s="275"/>
      <c r="R284" s="275"/>
      <c r="S284" s="275"/>
      <c r="T284" s="275"/>
      <c r="U284" s="275"/>
      <c r="V284" s="27"/>
    </row>
    <row r="285" spans="1:22" s="20" customFormat="1" ht="20.25" customHeight="1">
      <c r="A285" s="18"/>
      <c r="B285" s="164"/>
      <c r="C285" s="164"/>
      <c r="E285" s="262">
        <v>2</v>
      </c>
      <c r="F285" s="262"/>
      <c r="G285" s="263" t="s">
        <v>160</v>
      </c>
      <c r="H285" s="263"/>
      <c r="I285" s="263"/>
      <c r="J285" s="263"/>
      <c r="K285" s="263"/>
      <c r="L285" s="263"/>
      <c r="M285" s="263"/>
      <c r="N285" s="263"/>
      <c r="O285" s="263"/>
      <c r="P285" s="275">
        <v>0</v>
      </c>
      <c r="Q285" s="275"/>
      <c r="R285" s="275"/>
      <c r="S285" s="275"/>
      <c r="T285" s="275"/>
      <c r="U285" s="275"/>
      <c r="V285" s="27"/>
    </row>
    <row r="286" spans="1:22" s="20" customFormat="1" ht="36" customHeight="1">
      <c r="A286" s="18"/>
      <c r="B286" s="164"/>
      <c r="C286" s="164"/>
      <c r="E286" s="262">
        <v>3</v>
      </c>
      <c r="F286" s="262"/>
      <c r="G286" s="263" t="s">
        <v>161</v>
      </c>
      <c r="H286" s="263"/>
      <c r="I286" s="263"/>
      <c r="J286" s="263"/>
      <c r="K286" s="263"/>
      <c r="L286" s="263"/>
      <c r="M286" s="263"/>
      <c r="N286" s="263"/>
      <c r="O286" s="263"/>
      <c r="P286" s="275">
        <f>J256</f>
        <v>188721200</v>
      </c>
      <c r="Q286" s="275"/>
      <c r="R286" s="275"/>
      <c r="S286" s="275"/>
      <c r="T286" s="275"/>
      <c r="U286" s="275"/>
      <c r="V286" s="27"/>
    </row>
    <row r="287" spans="1:22" s="20" customFormat="1" ht="20.25" customHeight="1">
      <c r="A287" s="18"/>
      <c r="B287" s="164"/>
      <c r="C287" s="164"/>
      <c r="E287" s="262">
        <v>4</v>
      </c>
      <c r="F287" s="262"/>
      <c r="G287" s="263" t="s">
        <v>162</v>
      </c>
      <c r="H287" s="263"/>
      <c r="I287" s="263"/>
      <c r="J287" s="263"/>
      <c r="K287" s="263"/>
      <c r="L287" s="263"/>
      <c r="M287" s="263"/>
      <c r="N287" s="263"/>
      <c r="O287" s="263"/>
      <c r="P287" s="275">
        <v>0</v>
      </c>
      <c r="Q287" s="275"/>
      <c r="R287" s="275"/>
      <c r="S287" s="275"/>
      <c r="T287" s="275"/>
      <c r="U287" s="275"/>
      <c r="V287" s="27"/>
    </row>
    <row r="288" spans="1:22" s="20" customFormat="1" ht="20.25" customHeight="1">
      <c r="A288" s="18"/>
      <c r="B288" s="164"/>
      <c r="C288" s="164"/>
      <c r="E288" s="262">
        <v>5</v>
      </c>
      <c r="F288" s="262"/>
      <c r="G288" s="263" t="s">
        <v>163</v>
      </c>
      <c r="H288" s="263"/>
      <c r="I288" s="263"/>
      <c r="J288" s="263"/>
      <c r="K288" s="263"/>
      <c r="L288" s="263"/>
      <c r="M288" s="263"/>
      <c r="N288" s="263"/>
      <c r="O288" s="263"/>
      <c r="P288" s="275">
        <v>0</v>
      </c>
      <c r="Q288" s="275"/>
      <c r="R288" s="275"/>
      <c r="S288" s="275"/>
      <c r="T288" s="275"/>
      <c r="U288" s="275"/>
      <c r="V288" s="27"/>
    </row>
    <row r="289" spans="1:22" s="20" customFormat="1" ht="31.5" customHeight="1">
      <c r="A289" s="18"/>
      <c r="B289" s="164"/>
      <c r="C289" s="164"/>
      <c r="E289" s="262">
        <v>6</v>
      </c>
      <c r="F289" s="262"/>
      <c r="G289" s="263" t="s">
        <v>164</v>
      </c>
      <c r="H289" s="263"/>
      <c r="I289" s="263"/>
      <c r="J289" s="263"/>
      <c r="K289" s="263"/>
      <c r="L289" s="263"/>
      <c r="M289" s="263"/>
      <c r="N289" s="263"/>
      <c r="O289" s="263"/>
      <c r="P289" s="275">
        <v>0</v>
      </c>
      <c r="Q289" s="275"/>
      <c r="R289" s="275"/>
      <c r="S289" s="275"/>
      <c r="T289" s="275"/>
      <c r="U289" s="275"/>
      <c r="V289" s="27"/>
    </row>
    <row r="290" spans="1:22" s="20" customFormat="1" ht="20.25" customHeight="1">
      <c r="A290" s="18"/>
      <c r="B290" s="164"/>
      <c r="C290" s="164"/>
      <c r="E290" s="266" t="s">
        <v>158</v>
      </c>
      <c r="F290" s="267"/>
      <c r="G290" s="267"/>
      <c r="H290" s="267"/>
      <c r="I290" s="267"/>
      <c r="J290" s="267"/>
      <c r="K290" s="267"/>
      <c r="L290" s="267"/>
      <c r="M290" s="267"/>
      <c r="N290" s="267"/>
      <c r="O290" s="268"/>
      <c r="P290" s="276">
        <f>SUM(P284:U289)</f>
        <v>188721200</v>
      </c>
      <c r="Q290" s="276"/>
      <c r="R290" s="276"/>
      <c r="S290" s="276"/>
      <c r="T290" s="276"/>
      <c r="U290" s="276"/>
      <c r="V290" s="27"/>
    </row>
    <row r="291" spans="1:22" s="20" customFormat="1" ht="20.25" customHeight="1">
      <c r="A291" s="18"/>
      <c r="B291" s="164"/>
      <c r="C291" s="164"/>
      <c r="D291" s="270"/>
      <c r="E291" s="271"/>
      <c r="F291" s="271"/>
      <c r="G291" s="271"/>
      <c r="H291" s="271"/>
      <c r="I291" s="271"/>
      <c r="J291" s="271"/>
      <c r="K291" s="271"/>
      <c r="L291" s="271"/>
      <c r="M291" s="272"/>
      <c r="N291" s="273"/>
      <c r="O291" s="273"/>
      <c r="P291" s="273"/>
      <c r="Q291" s="273"/>
      <c r="R291" s="164"/>
      <c r="S291" s="164"/>
      <c r="T291" s="46"/>
      <c r="U291" s="46"/>
      <c r="V291" s="27"/>
    </row>
    <row r="292" spans="1:22" s="20" customFormat="1" ht="25.5" customHeight="1">
      <c r="A292" s="18"/>
      <c r="B292" s="164"/>
      <c r="C292" s="164"/>
      <c r="D292" s="274" t="s">
        <v>165</v>
      </c>
      <c r="E292" s="94" t="s">
        <v>139</v>
      </c>
      <c r="F292" s="94"/>
      <c r="G292" s="94"/>
      <c r="H292" s="94"/>
      <c r="I292" s="94"/>
      <c r="J292" s="94"/>
      <c r="K292" s="94"/>
      <c r="L292" s="94"/>
      <c r="M292" s="94"/>
      <c r="N292" s="94"/>
      <c r="O292" s="94"/>
      <c r="P292" s="94"/>
      <c r="Q292" s="94"/>
      <c r="R292" s="94"/>
      <c r="S292" s="94"/>
      <c r="T292" s="94"/>
      <c r="U292" s="94"/>
      <c r="V292" s="27"/>
    </row>
    <row r="293" spans="1:22" s="20" customFormat="1" ht="45.75" customHeight="1">
      <c r="A293" s="18"/>
      <c r="B293" s="164"/>
      <c r="C293" s="164"/>
      <c r="D293" s="96"/>
      <c r="E293" s="157" t="str">
        <f>"Realisasi Pengelolaan Kekayaan Daerah Yang Dipisahkan Daerah  TA "&amp;'[1]2.ISIAN DATA SKPD'!D11&amp;" adalah sebesar Rp. "&amp;FIXED(P298) &amp;" Adapun rincian Retribusi Daerah  sebagai berikut :"</f>
        <v>Realisasi Pengelolaan Kekayaan Daerah Yang Dipisahkan Daerah  TA 2017 adalah sebesar Rp. 0.00 Adapun rincian Retribusi Daerah  sebagai berikut :</v>
      </c>
      <c r="F293" s="157"/>
      <c r="G293" s="157"/>
      <c r="H293" s="157"/>
      <c r="I293" s="157"/>
      <c r="J293" s="157"/>
      <c r="K293" s="157"/>
      <c r="L293" s="157"/>
      <c r="M293" s="157"/>
      <c r="N293" s="157"/>
      <c r="O293" s="157"/>
      <c r="P293" s="157"/>
      <c r="Q293" s="157"/>
      <c r="R293" s="157"/>
      <c r="S293" s="157"/>
      <c r="T293" s="157"/>
      <c r="U293" s="157"/>
      <c r="V293" s="27"/>
    </row>
    <row r="294" spans="1:22" s="20" customFormat="1" ht="12.75" customHeight="1">
      <c r="A294" s="18"/>
      <c r="B294" s="164"/>
      <c r="C294" s="164"/>
      <c r="D294" s="96"/>
      <c r="E294" s="225"/>
      <c r="F294" s="225"/>
      <c r="G294" s="225"/>
      <c r="H294" s="225"/>
      <c r="I294" s="225"/>
      <c r="J294" s="225"/>
      <c r="K294" s="225"/>
      <c r="L294" s="225"/>
      <c r="M294" s="225"/>
      <c r="N294" s="225"/>
      <c r="O294" s="225"/>
      <c r="P294" s="225"/>
      <c r="Q294" s="225"/>
      <c r="R294" s="225"/>
      <c r="S294" s="225"/>
      <c r="T294" s="225"/>
      <c r="U294" s="225"/>
      <c r="V294" s="27"/>
    </row>
    <row r="295" spans="1:22" s="20" customFormat="1" ht="32.25" customHeight="1">
      <c r="A295" s="18"/>
      <c r="B295" s="164"/>
      <c r="C295" s="164"/>
      <c r="E295" s="260" t="s">
        <v>147</v>
      </c>
      <c r="F295" s="260"/>
      <c r="G295" s="260" t="s">
        <v>139</v>
      </c>
      <c r="H295" s="260"/>
      <c r="I295" s="260"/>
      <c r="J295" s="260"/>
      <c r="K295" s="260"/>
      <c r="L295" s="260"/>
      <c r="M295" s="260"/>
      <c r="N295" s="260"/>
      <c r="O295" s="260"/>
      <c r="P295" s="261" t="s">
        <v>131</v>
      </c>
      <c r="Q295" s="261"/>
      <c r="R295" s="261"/>
      <c r="S295" s="261"/>
      <c r="T295" s="261"/>
      <c r="U295" s="261"/>
      <c r="V295" s="27"/>
    </row>
    <row r="296" spans="1:22" s="20" customFormat="1" ht="33.75" customHeight="1">
      <c r="A296" s="18"/>
      <c r="B296" s="164"/>
      <c r="C296" s="164"/>
      <c r="E296" s="262">
        <v>1</v>
      </c>
      <c r="F296" s="262"/>
      <c r="G296" s="263" t="s">
        <v>166</v>
      </c>
      <c r="H296" s="263"/>
      <c r="I296" s="263"/>
      <c r="J296" s="263"/>
      <c r="K296" s="263"/>
      <c r="L296" s="263"/>
      <c r="M296" s="263"/>
      <c r="N296" s="263"/>
      <c r="O296" s="263"/>
      <c r="P296" s="264">
        <v>0</v>
      </c>
      <c r="Q296" s="264"/>
      <c r="R296" s="264"/>
      <c r="S296" s="264"/>
      <c r="T296" s="264"/>
      <c r="U296" s="264"/>
      <c r="V296" s="27"/>
    </row>
    <row r="297" spans="1:22" s="20" customFormat="1" ht="36.75" customHeight="1">
      <c r="A297" s="18"/>
      <c r="B297" s="164"/>
      <c r="C297" s="164"/>
      <c r="E297" s="262">
        <v>2</v>
      </c>
      <c r="F297" s="262"/>
      <c r="G297" s="263" t="s">
        <v>167</v>
      </c>
      <c r="H297" s="263"/>
      <c r="I297" s="263"/>
      <c r="J297" s="263"/>
      <c r="K297" s="263"/>
      <c r="L297" s="263"/>
      <c r="M297" s="263"/>
      <c r="N297" s="263"/>
      <c r="O297" s="263"/>
      <c r="P297" s="264">
        <v>0</v>
      </c>
      <c r="Q297" s="264"/>
      <c r="R297" s="264"/>
      <c r="S297" s="264"/>
      <c r="T297" s="264"/>
      <c r="U297" s="264"/>
      <c r="V297" s="27"/>
    </row>
    <row r="298" spans="1:22" s="20" customFormat="1" ht="33" customHeight="1">
      <c r="A298" s="18"/>
      <c r="B298" s="164"/>
      <c r="C298" s="164"/>
      <c r="E298" s="266" t="s">
        <v>158</v>
      </c>
      <c r="F298" s="267"/>
      <c r="G298" s="267"/>
      <c r="H298" s="267"/>
      <c r="I298" s="267"/>
      <c r="J298" s="267"/>
      <c r="K298" s="267"/>
      <c r="L298" s="267"/>
      <c r="M298" s="267"/>
      <c r="N298" s="267"/>
      <c r="O298" s="268"/>
      <c r="P298" s="277">
        <f>SUM(P296:U297)</f>
        <v>0</v>
      </c>
      <c r="Q298" s="277"/>
      <c r="R298" s="277"/>
      <c r="S298" s="277"/>
      <c r="T298" s="277"/>
      <c r="U298" s="277"/>
      <c r="V298" s="27"/>
    </row>
    <row r="299" spans="1:22" s="20" customFormat="1" ht="6" customHeight="1">
      <c r="A299" s="18"/>
      <c r="B299" s="164"/>
      <c r="C299" s="164"/>
      <c r="D299" s="270"/>
      <c r="E299" s="271"/>
      <c r="F299" s="271"/>
      <c r="G299" s="271"/>
      <c r="H299" s="271"/>
      <c r="I299" s="271"/>
      <c r="J299" s="271"/>
      <c r="K299" s="271"/>
      <c r="L299" s="271"/>
      <c r="M299" s="272"/>
      <c r="N299" s="273"/>
      <c r="O299" s="273"/>
      <c r="P299" s="273"/>
      <c r="Q299" s="273"/>
      <c r="R299" s="164"/>
      <c r="S299" s="164"/>
      <c r="T299" s="46"/>
      <c r="U299" s="46"/>
      <c r="V299" s="27"/>
    </row>
    <row r="300" spans="1:22" s="20" customFormat="1" ht="28.5" customHeight="1">
      <c r="A300" s="18"/>
      <c r="B300" s="164"/>
      <c r="C300" s="164"/>
      <c r="D300" s="274" t="s">
        <v>165</v>
      </c>
      <c r="E300" s="94" t="s">
        <v>168</v>
      </c>
      <c r="F300" s="94"/>
      <c r="G300" s="94"/>
      <c r="H300" s="94"/>
      <c r="I300" s="94"/>
      <c r="J300" s="94"/>
      <c r="K300" s="94"/>
      <c r="L300" s="94"/>
      <c r="M300" s="94"/>
      <c r="N300" s="94"/>
      <c r="O300" s="94"/>
      <c r="P300" s="94"/>
      <c r="Q300" s="94"/>
      <c r="R300" s="94"/>
      <c r="S300" s="94"/>
      <c r="T300" s="94"/>
      <c r="U300" s="94"/>
      <c r="V300" s="27"/>
    </row>
    <row r="301" spans="1:22" s="20" customFormat="1" ht="44.25" customHeight="1">
      <c r="A301" s="18"/>
      <c r="B301" s="164"/>
      <c r="C301" s="164"/>
      <c r="D301" s="96"/>
      <c r="E301" s="157" t="str">
        <f>"Realisasi Lain-lain PAD Yang Sah  TA "&amp;'[1]2.ISIAN DATA SKPD'!D11&amp;" adalah sebesar Rp. "&amp;FIXED(P310) &amp;" Adapun rincian Retribusi Daerah  sebagai berikut :"</f>
        <v>Realisasi Lain-lain PAD Yang Sah  TA 2017 adalah sebesar Rp. 346,109,500.00 Adapun rincian Retribusi Daerah  sebagai berikut :</v>
      </c>
      <c r="F301" s="157"/>
      <c r="G301" s="157"/>
      <c r="H301" s="157"/>
      <c r="I301" s="157"/>
      <c r="J301" s="157"/>
      <c r="K301" s="157"/>
      <c r="L301" s="157"/>
      <c r="M301" s="157"/>
      <c r="N301" s="157"/>
      <c r="O301" s="157"/>
      <c r="P301" s="157"/>
      <c r="Q301" s="157"/>
      <c r="R301" s="157"/>
      <c r="S301" s="157"/>
      <c r="T301" s="157"/>
      <c r="U301" s="157"/>
      <c r="V301" s="27"/>
    </row>
    <row r="302" spans="1:22" s="20" customFormat="1" ht="18" customHeight="1">
      <c r="A302" s="18"/>
      <c r="B302" s="164"/>
      <c r="C302" s="164"/>
      <c r="D302" s="96"/>
      <c r="E302" s="225"/>
      <c r="F302" s="225"/>
      <c r="G302" s="225"/>
      <c r="H302" s="225"/>
      <c r="I302" s="225"/>
      <c r="J302" s="225"/>
      <c r="K302" s="225"/>
      <c r="L302" s="225"/>
      <c r="M302" s="225"/>
      <c r="N302" s="225"/>
      <c r="O302" s="225"/>
      <c r="P302" s="225"/>
      <c r="Q302" s="225"/>
      <c r="R302" s="225"/>
      <c r="S302" s="225"/>
      <c r="T302" s="225"/>
      <c r="U302" s="225"/>
      <c r="V302" s="27"/>
    </row>
    <row r="303" spans="1:22" s="20" customFormat="1" ht="31.5" customHeight="1">
      <c r="A303" s="18"/>
      <c r="B303" s="164"/>
      <c r="C303" s="164"/>
      <c r="E303" s="260" t="s">
        <v>147</v>
      </c>
      <c r="F303" s="260"/>
      <c r="G303" s="260" t="s">
        <v>168</v>
      </c>
      <c r="H303" s="260"/>
      <c r="I303" s="260"/>
      <c r="J303" s="260"/>
      <c r="K303" s="260"/>
      <c r="L303" s="260"/>
      <c r="M303" s="260"/>
      <c r="N303" s="260"/>
      <c r="O303" s="260"/>
      <c r="P303" s="261" t="s">
        <v>131</v>
      </c>
      <c r="Q303" s="261"/>
      <c r="R303" s="261"/>
      <c r="S303" s="261"/>
      <c r="T303" s="261"/>
      <c r="U303" s="261"/>
      <c r="V303" s="27"/>
    </row>
    <row r="304" spans="1:22" s="20" customFormat="1" ht="28.5" customHeight="1">
      <c r="A304" s="18"/>
      <c r="B304" s="164"/>
      <c r="C304" s="164"/>
      <c r="E304" s="262">
        <v>1</v>
      </c>
      <c r="F304" s="262"/>
      <c r="G304" s="263" t="s">
        <v>169</v>
      </c>
      <c r="H304" s="263"/>
      <c r="I304" s="263"/>
      <c r="J304" s="263"/>
      <c r="K304" s="263"/>
      <c r="L304" s="263"/>
      <c r="M304" s="263"/>
      <c r="N304" s="263"/>
      <c r="O304" s="263"/>
      <c r="P304" s="278">
        <f>'[1]3.LRA'!E24</f>
        <v>47960400</v>
      </c>
      <c r="Q304" s="278"/>
      <c r="R304" s="278"/>
      <c r="S304" s="278"/>
      <c r="T304" s="278"/>
      <c r="U304" s="278"/>
      <c r="V304" s="27"/>
    </row>
    <row r="305" spans="1:38" s="20" customFormat="1" ht="20.25" customHeight="1">
      <c r="A305" s="18"/>
      <c r="B305" s="164"/>
      <c r="C305" s="164"/>
      <c r="E305" s="262">
        <v>2</v>
      </c>
      <c r="F305" s="262"/>
      <c r="G305" s="263" t="s">
        <v>170</v>
      </c>
      <c r="H305" s="263"/>
      <c r="I305" s="263"/>
      <c r="J305" s="263"/>
      <c r="K305" s="263"/>
      <c r="L305" s="263"/>
      <c r="M305" s="263"/>
      <c r="N305" s="263"/>
      <c r="O305" s="263"/>
      <c r="P305" s="278">
        <v>0</v>
      </c>
      <c r="Q305" s="278"/>
      <c r="R305" s="278"/>
      <c r="S305" s="278"/>
      <c r="T305" s="278"/>
      <c r="U305" s="278"/>
      <c r="V305" s="27"/>
    </row>
    <row r="306" spans="1:38" s="20" customFormat="1" ht="20.25" customHeight="1">
      <c r="A306" s="18"/>
      <c r="B306" s="164"/>
      <c r="C306" s="164"/>
      <c r="E306" s="262">
        <v>3</v>
      </c>
      <c r="F306" s="262"/>
      <c r="G306" s="263" t="s">
        <v>171</v>
      </c>
      <c r="H306" s="263"/>
      <c r="I306" s="263"/>
      <c r="J306" s="263"/>
      <c r="K306" s="263"/>
      <c r="L306" s="263"/>
      <c r="M306" s="263"/>
      <c r="N306" s="263"/>
      <c r="O306" s="263"/>
      <c r="P306" s="278">
        <v>0</v>
      </c>
      <c r="Q306" s="278"/>
      <c r="R306" s="278"/>
      <c r="S306" s="278"/>
      <c r="T306" s="278"/>
      <c r="U306" s="278"/>
      <c r="V306" s="27"/>
    </row>
    <row r="307" spans="1:38" s="20" customFormat="1" ht="30" customHeight="1">
      <c r="A307" s="18"/>
      <c r="B307" s="164"/>
      <c r="C307" s="164"/>
      <c r="E307" s="262">
        <v>4</v>
      </c>
      <c r="F307" s="262"/>
      <c r="G307" s="263" t="str">
        <f>'[1]3.LRA'!C25</f>
        <v xml:space="preserve">Pendapatan denda Keterlambatan Pelaksanaan </v>
      </c>
      <c r="H307" s="263"/>
      <c r="I307" s="263"/>
      <c r="J307" s="263"/>
      <c r="K307" s="263"/>
      <c r="L307" s="263"/>
      <c r="M307" s="263"/>
      <c r="N307" s="263"/>
      <c r="O307" s="263"/>
      <c r="P307" s="278">
        <f>'[1]3.LRA'!E25</f>
        <v>72974050</v>
      </c>
      <c r="Q307" s="278"/>
      <c r="R307" s="278"/>
      <c r="S307" s="278"/>
      <c r="T307" s="278"/>
      <c r="U307" s="278"/>
      <c r="V307" s="27"/>
    </row>
    <row r="308" spans="1:38" s="20" customFormat="1" ht="20.25" customHeight="1">
      <c r="A308" s="18"/>
      <c r="B308" s="164"/>
      <c r="C308" s="164"/>
      <c r="E308" s="262">
        <v>5</v>
      </c>
      <c r="F308" s="262"/>
      <c r="G308" s="263" t="s">
        <v>172</v>
      </c>
      <c r="H308" s="263"/>
      <c r="I308" s="263"/>
      <c r="J308" s="263"/>
      <c r="K308" s="263"/>
      <c r="L308" s="263"/>
      <c r="M308" s="263"/>
      <c r="N308" s="263"/>
      <c r="O308" s="263"/>
      <c r="P308" s="278">
        <f>'[1]3.LRA'!E26</f>
        <v>225175050</v>
      </c>
      <c r="Q308" s="278"/>
      <c r="R308" s="278"/>
      <c r="S308" s="278"/>
      <c r="T308" s="278"/>
      <c r="U308" s="278"/>
      <c r="V308" s="27"/>
    </row>
    <row r="309" spans="1:38" s="20" customFormat="1" ht="20.25" customHeight="1">
      <c r="A309" s="18"/>
      <c r="B309" s="164"/>
      <c r="C309" s="164"/>
      <c r="E309" s="262">
        <v>6</v>
      </c>
      <c r="F309" s="262"/>
      <c r="G309" s="263" t="s">
        <v>173</v>
      </c>
      <c r="H309" s="263"/>
      <c r="I309" s="263"/>
      <c r="J309" s="263"/>
      <c r="K309" s="263"/>
      <c r="L309" s="263"/>
      <c r="M309" s="263"/>
      <c r="N309" s="263"/>
      <c r="O309" s="263"/>
      <c r="P309" s="278">
        <v>0</v>
      </c>
      <c r="Q309" s="278"/>
      <c r="R309" s="278"/>
      <c r="S309" s="278"/>
      <c r="T309" s="278"/>
      <c r="U309" s="278"/>
      <c r="V309" s="27"/>
    </row>
    <row r="310" spans="1:38" s="20" customFormat="1" ht="27.75" customHeight="1">
      <c r="A310" s="18"/>
      <c r="B310" s="164"/>
      <c r="C310" s="164"/>
      <c r="E310" s="266" t="s">
        <v>158</v>
      </c>
      <c r="F310" s="267"/>
      <c r="G310" s="267"/>
      <c r="H310" s="267"/>
      <c r="I310" s="267"/>
      <c r="J310" s="267"/>
      <c r="K310" s="267"/>
      <c r="L310" s="267"/>
      <c r="M310" s="267"/>
      <c r="N310" s="267"/>
      <c r="O310" s="268"/>
      <c r="P310" s="279">
        <f>SUM(P304:U309)</f>
        <v>346109500</v>
      </c>
      <c r="Q310" s="279"/>
      <c r="R310" s="279"/>
      <c r="S310" s="279"/>
      <c r="T310" s="279"/>
      <c r="U310" s="279"/>
      <c r="V310" s="27"/>
    </row>
    <row r="311" spans="1:38" s="20" customFormat="1" ht="7.5" customHeight="1">
      <c r="A311" s="18"/>
      <c r="B311" s="164"/>
      <c r="C311" s="164"/>
      <c r="D311" s="270"/>
      <c r="E311" s="271"/>
      <c r="F311" s="271"/>
      <c r="G311" s="271"/>
      <c r="H311" s="271"/>
      <c r="I311" s="271"/>
      <c r="J311" s="271"/>
      <c r="K311" s="271"/>
      <c r="L311" s="271"/>
      <c r="M311" s="272"/>
      <c r="N311" s="273"/>
      <c r="O311" s="273"/>
      <c r="P311" s="273"/>
      <c r="Q311" s="273"/>
      <c r="R311" s="164"/>
      <c r="S311" s="164"/>
      <c r="T311" s="46"/>
      <c r="U311" s="46"/>
      <c r="V311" s="27"/>
    </row>
    <row r="312" spans="1:38" s="20" customFormat="1" ht="20.25" customHeight="1">
      <c r="A312" s="280"/>
      <c r="B312" s="281"/>
      <c r="C312" s="282" t="s">
        <v>112</v>
      </c>
      <c r="D312" s="283" t="s">
        <v>141</v>
      </c>
      <c r="E312" s="283"/>
      <c r="F312" s="283"/>
      <c r="G312" s="283"/>
      <c r="H312" s="283"/>
      <c r="I312" s="283"/>
      <c r="J312" s="283"/>
      <c r="K312" s="283"/>
      <c r="L312" s="283"/>
      <c r="M312" s="283"/>
      <c r="N312" s="283"/>
      <c r="O312" s="283"/>
      <c r="P312" s="283"/>
      <c r="Q312" s="283"/>
      <c r="R312" s="283"/>
      <c r="S312" s="283"/>
      <c r="T312" s="283"/>
      <c r="U312" s="283"/>
      <c r="V312" s="27"/>
    </row>
    <row r="313" spans="1:38" s="20" customFormat="1" ht="20.25" customHeight="1">
      <c r="A313" s="18"/>
      <c r="B313" s="284"/>
      <c r="D313" s="157" t="str">
        <f>"Pendapatan Transfer per "&amp;'[1]2.ISIAN DATA SKPD'!D10&amp;" sebesar Rp. "&amp;FIXED(J321)&amp;""</f>
        <v>Pendapatan Transfer per 31 Desember 2017 sebesar Rp. 0.00</v>
      </c>
      <c r="E313" s="157"/>
      <c r="F313" s="157"/>
      <c r="G313" s="157"/>
      <c r="H313" s="157"/>
      <c r="I313" s="157"/>
      <c r="J313" s="157"/>
      <c r="K313" s="157"/>
      <c r="L313" s="157"/>
      <c r="M313" s="157"/>
      <c r="N313" s="157"/>
      <c r="O313" s="157"/>
      <c r="P313" s="157"/>
      <c r="Q313" s="157"/>
      <c r="R313" s="157"/>
      <c r="S313" s="157"/>
      <c r="T313" s="157"/>
      <c r="U313" s="157"/>
      <c r="V313" s="27"/>
    </row>
    <row r="314" spans="1:38" s="20" customFormat="1" ht="37.5" customHeight="1">
      <c r="A314" s="18"/>
      <c r="B314" s="284"/>
      <c r="D314" s="157" t="s">
        <v>174</v>
      </c>
      <c r="E314" s="157"/>
      <c r="F314" s="157"/>
      <c r="G314" s="157"/>
      <c r="H314" s="157"/>
      <c r="I314" s="157"/>
      <c r="J314" s="157"/>
      <c r="K314" s="157"/>
      <c r="L314" s="157"/>
      <c r="M314" s="157"/>
      <c r="N314" s="157"/>
      <c r="O314" s="157"/>
      <c r="P314" s="157"/>
      <c r="Q314" s="157"/>
      <c r="R314" s="157"/>
      <c r="S314" s="157"/>
      <c r="T314" s="157"/>
      <c r="U314" s="157"/>
      <c r="V314" s="27"/>
    </row>
    <row r="315" spans="1:38" s="281" customFormat="1" ht="12.75" customHeight="1">
      <c r="A315" s="18"/>
      <c r="B315" s="284"/>
      <c r="C315" s="285"/>
      <c r="D315" s="285"/>
      <c r="E315" s="285"/>
      <c r="F315" s="285"/>
      <c r="G315" s="285"/>
      <c r="H315" s="285"/>
      <c r="I315" s="285"/>
      <c r="J315" s="285"/>
      <c r="K315" s="285"/>
      <c r="L315" s="285"/>
      <c r="M315" s="285"/>
      <c r="N315" s="285"/>
      <c r="O315" s="285"/>
      <c r="P315" s="285"/>
      <c r="Q315" s="285"/>
      <c r="R315" s="285"/>
      <c r="S315" s="285"/>
      <c r="T315" s="285"/>
      <c r="U315" s="285"/>
      <c r="V315" s="286"/>
      <c r="W315" s="286"/>
      <c r="X315" s="286"/>
      <c r="Y315" s="286"/>
      <c r="Z315" s="286"/>
      <c r="AA315" s="286"/>
      <c r="AB315" s="286"/>
      <c r="AC315" s="286"/>
      <c r="AD315" s="286"/>
      <c r="AE315" s="286"/>
      <c r="AF315" s="286"/>
      <c r="AG315" s="286"/>
      <c r="AH315" s="286"/>
      <c r="AI315" s="286"/>
      <c r="AJ315" s="286"/>
      <c r="AK315" s="286"/>
      <c r="AL315" s="286"/>
    </row>
    <row r="316" spans="1:38" s="20" customFormat="1" ht="19.5" customHeight="1">
      <c r="A316" s="168" t="s">
        <v>141</v>
      </c>
      <c r="B316" s="226"/>
      <c r="C316" s="227"/>
      <c r="D316" s="171">
        <f>D229</f>
        <v>2017</v>
      </c>
      <c r="E316" s="172"/>
      <c r="F316" s="172"/>
      <c r="G316" s="172"/>
      <c r="H316" s="172"/>
      <c r="I316" s="172"/>
      <c r="J316" s="172"/>
      <c r="K316" s="172"/>
      <c r="L316" s="172"/>
      <c r="M316" s="172"/>
      <c r="N316" s="173"/>
      <c r="O316" s="174">
        <f>O253</f>
        <v>2016</v>
      </c>
      <c r="P316" s="175"/>
      <c r="Q316" s="175"/>
      <c r="R316" s="175"/>
      <c r="S316" s="176"/>
      <c r="T316" s="287" t="s">
        <v>129</v>
      </c>
      <c r="U316" s="288"/>
      <c r="V316" s="152"/>
      <c r="W316" s="152"/>
      <c r="X316" s="152"/>
      <c r="Y316" s="152"/>
      <c r="Z316" s="152"/>
      <c r="AA316" s="152"/>
      <c r="AB316" s="152"/>
      <c r="AC316" s="152"/>
      <c r="AD316" s="152"/>
      <c r="AE316" s="152"/>
      <c r="AF316" s="152"/>
      <c r="AG316" s="152"/>
      <c r="AH316" s="152"/>
      <c r="AI316" s="152"/>
      <c r="AJ316" s="152"/>
      <c r="AK316" s="152"/>
      <c r="AL316" s="152"/>
    </row>
    <row r="317" spans="1:38" s="20" customFormat="1" ht="23.25" customHeight="1">
      <c r="A317" s="228"/>
      <c r="B317" s="229"/>
      <c r="C317" s="230"/>
      <c r="D317" s="174" t="s">
        <v>130</v>
      </c>
      <c r="E317" s="175"/>
      <c r="F317" s="175"/>
      <c r="G317" s="175"/>
      <c r="H317" s="175"/>
      <c r="I317" s="176"/>
      <c r="J317" s="174" t="s">
        <v>131</v>
      </c>
      <c r="K317" s="175"/>
      <c r="L317" s="175"/>
      <c r="M317" s="175"/>
      <c r="N317" s="176"/>
      <c r="O317" s="174" t="s">
        <v>131</v>
      </c>
      <c r="P317" s="175"/>
      <c r="Q317" s="175"/>
      <c r="R317" s="175"/>
      <c r="S317" s="176"/>
      <c r="T317" s="289"/>
      <c r="U317" s="290"/>
      <c r="V317" s="152"/>
      <c r="W317" s="152"/>
      <c r="X317" s="152"/>
      <c r="Y317" s="152"/>
      <c r="Z317" s="152"/>
      <c r="AA317" s="152"/>
      <c r="AB317" s="152"/>
      <c r="AC317" s="152"/>
      <c r="AD317" s="152"/>
      <c r="AE317" s="152"/>
      <c r="AF317" s="152"/>
      <c r="AG317" s="152"/>
      <c r="AH317" s="152"/>
      <c r="AI317" s="152"/>
      <c r="AJ317" s="152"/>
      <c r="AK317" s="152"/>
      <c r="AL317" s="152"/>
    </row>
    <row r="318" spans="1:38" s="20" customFormat="1" ht="18.75" customHeight="1">
      <c r="A318" s="291" t="s">
        <v>175</v>
      </c>
      <c r="B318" s="292"/>
      <c r="C318" s="293"/>
      <c r="D318" s="187">
        <f>'[1]3.LRA'!D28</f>
        <v>0</v>
      </c>
      <c r="E318" s="188"/>
      <c r="F318" s="188"/>
      <c r="G318" s="188"/>
      <c r="H318" s="188"/>
      <c r="I318" s="189"/>
      <c r="J318" s="187">
        <f>'[1]3.LRA'!E28</f>
        <v>0</v>
      </c>
      <c r="K318" s="188"/>
      <c r="L318" s="188"/>
      <c r="M318" s="188"/>
      <c r="N318" s="189"/>
      <c r="O318" s="234">
        <f>'[1]3.LRA'!I28</f>
        <v>0</v>
      </c>
      <c r="P318" s="235"/>
      <c r="Q318" s="235"/>
      <c r="R318" s="235"/>
      <c r="S318" s="236"/>
      <c r="T318" s="193"/>
      <c r="U318" s="194"/>
      <c r="V318" s="152"/>
      <c r="W318" s="152"/>
      <c r="X318" s="152"/>
      <c r="Y318" s="152"/>
      <c r="Z318" s="152"/>
      <c r="AA318" s="152"/>
      <c r="AB318" s="152"/>
      <c r="AC318" s="152"/>
      <c r="AD318" s="152"/>
      <c r="AE318" s="152"/>
      <c r="AF318" s="152"/>
      <c r="AG318" s="152"/>
      <c r="AH318" s="152"/>
      <c r="AI318" s="152"/>
      <c r="AJ318" s="152"/>
      <c r="AK318" s="152"/>
      <c r="AL318" s="152"/>
    </row>
    <row r="319" spans="1:38" s="20" customFormat="1" ht="17.25" customHeight="1">
      <c r="A319" s="291" t="s">
        <v>176</v>
      </c>
      <c r="B319" s="292"/>
      <c r="C319" s="293"/>
      <c r="D319" s="187">
        <f>'[1]3.LRA'!D29</f>
        <v>0</v>
      </c>
      <c r="E319" s="188"/>
      <c r="F319" s="188"/>
      <c r="G319" s="188"/>
      <c r="H319" s="188"/>
      <c r="I319" s="189"/>
      <c r="J319" s="187">
        <f>'[1]3.LRA'!E29</f>
        <v>0</v>
      </c>
      <c r="K319" s="188"/>
      <c r="L319" s="188"/>
      <c r="M319" s="188"/>
      <c r="N319" s="189"/>
      <c r="O319" s="234">
        <f>'[1]3.LRA'!I29</f>
        <v>0</v>
      </c>
      <c r="P319" s="235"/>
      <c r="Q319" s="235"/>
      <c r="R319" s="235"/>
      <c r="S319" s="236"/>
      <c r="T319" s="193"/>
      <c r="U319" s="194"/>
      <c r="V319" s="27"/>
    </row>
    <row r="320" spans="1:38" s="20" customFormat="1" ht="15.75" customHeight="1">
      <c r="A320" s="291" t="s">
        <v>177</v>
      </c>
      <c r="B320" s="292"/>
      <c r="C320" s="293"/>
      <c r="D320" s="187">
        <f>'[1]3.LRA'!D30</f>
        <v>0</v>
      </c>
      <c r="E320" s="188"/>
      <c r="F320" s="188"/>
      <c r="G320" s="188"/>
      <c r="H320" s="188"/>
      <c r="I320" s="189"/>
      <c r="J320" s="187">
        <f>'[1]3.LRA'!E30</f>
        <v>0</v>
      </c>
      <c r="K320" s="188"/>
      <c r="L320" s="188"/>
      <c r="M320" s="188"/>
      <c r="N320" s="189"/>
      <c r="O320" s="234">
        <f>'[1]3.LRA'!I30</f>
        <v>0</v>
      </c>
      <c r="P320" s="235"/>
      <c r="Q320" s="235"/>
      <c r="R320" s="235"/>
      <c r="S320" s="236"/>
      <c r="T320" s="193"/>
      <c r="U320" s="194"/>
      <c r="V320" s="27"/>
    </row>
    <row r="321" spans="1:22" s="20" customFormat="1" ht="27" customHeight="1">
      <c r="A321" s="174" t="s">
        <v>178</v>
      </c>
      <c r="B321" s="175"/>
      <c r="C321" s="176"/>
      <c r="D321" s="252">
        <f>SUM(D318:I320)</f>
        <v>0</v>
      </c>
      <c r="E321" s="253"/>
      <c r="F321" s="253"/>
      <c r="G321" s="253"/>
      <c r="H321" s="253"/>
      <c r="I321" s="254"/>
      <c r="J321" s="252">
        <f>SUM(J318:N320)</f>
        <v>0</v>
      </c>
      <c r="K321" s="253"/>
      <c r="L321" s="253"/>
      <c r="M321" s="253"/>
      <c r="N321" s="254"/>
      <c r="O321" s="252">
        <f>SUM(O318:S320)</f>
        <v>0</v>
      </c>
      <c r="P321" s="253"/>
      <c r="Q321" s="253"/>
      <c r="R321" s="253"/>
      <c r="S321" s="254"/>
      <c r="T321" s="193"/>
      <c r="U321" s="194"/>
      <c r="V321" s="27"/>
    </row>
    <row r="322" spans="1:22" s="20" customFormat="1" ht="12.75" customHeight="1">
      <c r="A322" s="18"/>
      <c r="B322" s="164" t="s">
        <v>179</v>
      </c>
      <c r="C322" s="164"/>
      <c r="D322" s="164"/>
      <c r="E322" s="164"/>
      <c r="F322" s="164"/>
      <c r="G322" s="164"/>
      <c r="H322" s="164"/>
      <c r="I322" s="164"/>
      <c r="J322" s="164"/>
      <c r="K322" s="164"/>
      <c r="L322" s="164"/>
      <c r="M322" s="164"/>
      <c r="N322" s="164"/>
      <c r="O322" s="164"/>
      <c r="P322" s="164"/>
      <c r="Q322" s="164"/>
      <c r="R322" s="164"/>
      <c r="S322" s="164"/>
      <c r="T322" s="46"/>
      <c r="U322" s="46"/>
      <c r="V322" s="27"/>
    </row>
    <row r="323" spans="1:22" s="20" customFormat="1" ht="16.5" customHeight="1">
      <c r="A323" s="18"/>
      <c r="C323" s="223" t="s">
        <v>113</v>
      </c>
      <c r="D323" s="224" t="s">
        <v>180</v>
      </c>
      <c r="E323" s="224"/>
      <c r="F323" s="224"/>
      <c r="G323" s="224"/>
      <c r="H323" s="224"/>
      <c r="I323" s="224"/>
      <c r="J323" s="224"/>
      <c r="K323" s="224"/>
      <c r="L323" s="224"/>
      <c r="M323" s="224"/>
      <c r="N323" s="224"/>
      <c r="O323" s="224"/>
      <c r="P323" s="224"/>
      <c r="Q323" s="224"/>
      <c r="R323" s="224"/>
      <c r="S323" s="224"/>
      <c r="T323" s="224"/>
      <c r="U323" s="224"/>
      <c r="V323" s="27"/>
    </row>
    <row r="324" spans="1:22" s="20" customFormat="1" ht="31.5" customHeight="1">
      <c r="A324" s="18"/>
      <c r="B324" s="284"/>
      <c r="D324" s="157" t="str">
        <f>"Lain-lain pendapatan yang sah per "&amp;'[1]2.ISIAN DATA SKPD'!D8&amp;" sebesar Rp. "&amp;FIXED(J332)&amp;""</f>
        <v>Lain-lain pendapatan yang sah per 31 Desember 2017 sebesar Rp. 0.00</v>
      </c>
      <c r="E324" s="157"/>
      <c r="F324" s="157"/>
      <c r="G324" s="157"/>
      <c r="H324" s="157"/>
      <c r="I324" s="157"/>
      <c r="J324" s="157"/>
      <c r="K324" s="157"/>
      <c r="L324" s="157"/>
      <c r="M324" s="157"/>
      <c r="N324" s="157"/>
      <c r="O324" s="157"/>
      <c r="P324" s="157"/>
      <c r="Q324" s="157"/>
      <c r="R324" s="157"/>
      <c r="S324" s="157"/>
      <c r="T324" s="157"/>
      <c r="U324" s="157"/>
      <c r="V324" s="27"/>
    </row>
    <row r="325" spans="1:22" s="20" customFormat="1" ht="33" customHeight="1">
      <c r="A325" s="18"/>
      <c r="B325" s="284"/>
      <c r="D325" s="157" t="s">
        <v>181</v>
      </c>
      <c r="E325" s="157"/>
      <c r="F325" s="157"/>
      <c r="G325" s="157"/>
      <c r="H325" s="157"/>
      <c r="I325" s="157"/>
      <c r="J325" s="157"/>
      <c r="K325" s="157"/>
      <c r="L325" s="157"/>
      <c r="M325" s="157"/>
      <c r="N325" s="157"/>
      <c r="O325" s="157"/>
      <c r="P325" s="157"/>
      <c r="Q325" s="157"/>
      <c r="R325" s="157"/>
      <c r="S325" s="157"/>
      <c r="T325" s="157"/>
      <c r="U325" s="157"/>
      <c r="V325" s="27"/>
    </row>
    <row r="326" spans="1:22" s="20" customFormat="1" ht="5.25" customHeight="1">
      <c r="A326" s="18"/>
      <c r="B326" s="284"/>
      <c r="D326" s="96"/>
      <c r="E326" s="96"/>
      <c r="F326" s="96"/>
      <c r="G326" s="96"/>
      <c r="H326" s="96"/>
      <c r="I326" s="96"/>
      <c r="J326" s="96"/>
      <c r="K326" s="96"/>
      <c r="L326" s="96"/>
      <c r="M326" s="96"/>
      <c r="N326" s="96"/>
      <c r="O326" s="96"/>
      <c r="P326" s="96"/>
      <c r="Q326" s="96"/>
      <c r="R326" s="96"/>
      <c r="S326" s="96"/>
      <c r="T326" s="96"/>
      <c r="U326" s="96"/>
      <c r="V326" s="27"/>
    </row>
    <row r="327" spans="1:22" s="20" customFormat="1" ht="24.75" customHeight="1">
      <c r="A327" s="58" t="str">
        <f>D323</f>
        <v>Lain-lain Pendapatan Yang Sah</v>
      </c>
      <c r="B327" s="59"/>
      <c r="C327" s="60"/>
      <c r="D327" s="171">
        <f>D316</f>
        <v>2017</v>
      </c>
      <c r="E327" s="172"/>
      <c r="F327" s="172"/>
      <c r="G327" s="172"/>
      <c r="H327" s="172"/>
      <c r="I327" s="172"/>
      <c r="J327" s="172"/>
      <c r="K327" s="172"/>
      <c r="L327" s="172"/>
      <c r="M327" s="172"/>
      <c r="N327" s="173"/>
      <c r="O327" s="174">
        <f>O316</f>
        <v>2016</v>
      </c>
      <c r="P327" s="175"/>
      <c r="Q327" s="175"/>
      <c r="R327" s="175"/>
      <c r="S327" s="176"/>
      <c r="T327" s="287" t="s">
        <v>129</v>
      </c>
      <c r="U327" s="288"/>
      <c r="V327" s="27"/>
    </row>
    <row r="328" spans="1:22" s="20" customFormat="1" ht="21.75" customHeight="1">
      <c r="A328" s="67"/>
      <c r="B328" s="68"/>
      <c r="C328" s="69"/>
      <c r="D328" s="174" t="s">
        <v>130</v>
      </c>
      <c r="E328" s="175"/>
      <c r="F328" s="175"/>
      <c r="G328" s="175"/>
      <c r="H328" s="175"/>
      <c r="I328" s="176"/>
      <c r="J328" s="174" t="s">
        <v>131</v>
      </c>
      <c r="K328" s="175"/>
      <c r="L328" s="175"/>
      <c r="M328" s="175"/>
      <c r="N328" s="176"/>
      <c r="O328" s="174" t="s">
        <v>131</v>
      </c>
      <c r="P328" s="175"/>
      <c r="Q328" s="175"/>
      <c r="R328" s="175"/>
      <c r="S328" s="176"/>
      <c r="T328" s="289"/>
      <c r="U328" s="290"/>
      <c r="V328" s="27"/>
    </row>
    <row r="329" spans="1:22" s="20" customFormat="1" ht="15" customHeight="1">
      <c r="A329" s="294" t="str">
        <f>'[1]3.LRA'!C32</f>
        <v>Pendapatan Hibah</v>
      </c>
      <c r="B329" s="295"/>
      <c r="C329" s="296"/>
      <c r="D329" s="297">
        <f>'[1]3.LRA'!D32</f>
        <v>0</v>
      </c>
      <c r="E329" s="298"/>
      <c r="F329" s="298"/>
      <c r="G329" s="298"/>
      <c r="H329" s="298"/>
      <c r="I329" s="299"/>
      <c r="J329" s="297">
        <f>'[1]3.LRA'!E32</f>
        <v>0</v>
      </c>
      <c r="K329" s="298"/>
      <c r="L329" s="298"/>
      <c r="M329" s="298"/>
      <c r="N329" s="299"/>
      <c r="O329" s="300">
        <f>'[1]3.LRA'!I32</f>
        <v>0</v>
      </c>
      <c r="P329" s="301"/>
      <c r="Q329" s="301"/>
      <c r="R329" s="301"/>
      <c r="S329" s="302"/>
      <c r="T329" s="193"/>
      <c r="U329" s="194"/>
      <c r="V329" s="27"/>
    </row>
    <row r="330" spans="1:22" s="20" customFormat="1" ht="18" customHeight="1">
      <c r="A330" s="294" t="str">
        <f>'[1]3.LRA'!C33</f>
        <v>Pendapatan Dana darurat</v>
      </c>
      <c r="B330" s="295"/>
      <c r="C330" s="296"/>
      <c r="D330" s="297">
        <f>'[1]3.LRA'!D33</f>
        <v>0</v>
      </c>
      <c r="E330" s="298"/>
      <c r="F330" s="298"/>
      <c r="G330" s="298"/>
      <c r="H330" s="298"/>
      <c r="I330" s="299"/>
      <c r="J330" s="297">
        <f>'[1]3.LRA'!E33</f>
        <v>0</v>
      </c>
      <c r="K330" s="298"/>
      <c r="L330" s="298"/>
      <c r="M330" s="298"/>
      <c r="N330" s="299"/>
      <c r="O330" s="300">
        <f>'[1]3.LRA'!I33</f>
        <v>0</v>
      </c>
      <c r="P330" s="301"/>
      <c r="Q330" s="301"/>
      <c r="R330" s="301"/>
      <c r="S330" s="302"/>
      <c r="T330" s="193"/>
      <c r="U330" s="194"/>
      <c r="V330" s="27"/>
    </row>
    <row r="331" spans="1:22" s="20" customFormat="1" ht="22.5" customHeight="1">
      <c r="A331" s="294" t="str">
        <f>'[1]3.LRA'!C34</f>
        <v>Pendapatan Lainnya</v>
      </c>
      <c r="B331" s="295"/>
      <c r="C331" s="296"/>
      <c r="D331" s="297">
        <f>'[1]3.LRA'!D34</f>
        <v>0</v>
      </c>
      <c r="E331" s="298"/>
      <c r="F331" s="298"/>
      <c r="G331" s="298"/>
      <c r="H331" s="298"/>
      <c r="I331" s="299"/>
      <c r="J331" s="297">
        <f>'[1]3.LRA'!E34</f>
        <v>0</v>
      </c>
      <c r="K331" s="298"/>
      <c r="L331" s="298"/>
      <c r="M331" s="298"/>
      <c r="N331" s="299"/>
      <c r="O331" s="300">
        <f>'[1]3.LRA'!I34</f>
        <v>0</v>
      </c>
      <c r="P331" s="301"/>
      <c r="Q331" s="301"/>
      <c r="R331" s="301"/>
      <c r="S331" s="302"/>
      <c r="T331" s="193"/>
      <c r="U331" s="194"/>
      <c r="V331" s="27"/>
    </row>
    <row r="332" spans="1:22" s="20" customFormat="1" ht="18" customHeight="1">
      <c r="A332" s="303" t="s">
        <v>143</v>
      </c>
      <c r="B332" s="304"/>
      <c r="C332" s="305"/>
      <c r="D332" s="306">
        <f>SUM(D329:I331)</f>
        <v>0</v>
      </c>
      <c r="E332" s="307"/>
      <c r="F332" s="307"/>
      <c r="G332" s="307"/>
      <c r="H332" s="307"/>
      <c r="I332" s="308"/>
      <c r="J332" s="306">
        <f>SUM(J329:N331)</f>
        <v>0</v>
      </c>
      <c r="K332" s="307"/>
      <c r="L332" s="307"/>
      <c r="M332" s="307"/>
      <c r="N332" s="308"/>
      <c r="O332" s="306">
        <f>SUM(O329:S331)</f>
        <v>0</v>
      </c>
      <c r="P332" s="307"/>
      <c r="Q332" s="307"/>
      <c r="R332" s="307"/>
      <c r="S332" s="308"/>
      <c r="T332" s="221"/>
      <c r="U332" s="222"/>
      <c r="V332" s="27"/>
    </row>
    <row r="333" spans="1:22" s="20" customFormat="1" ht="2.25" customHeight="1">
      <c r="A333" s="18"/>
      <c r="B333" s="164"/>
      <c r="C333" s="164"/>
      <c r="D333" s="164"/>
      <c r="E333" s="309"/>
      <c r="F333" s="309"/>
      <c r="G333" s="309"/>
      <c r="H333" s="309"/>
      <c r="I333" s="309"/>
      <c r="J333" s="309"/>
      <c r="K333" s="309"/>
      <c r="L333" s="309"/>
      <c r="M333" s="309"/>
      <c r="N333" s="309"/>
      <c r="O333" s="309"/>
      <c r="P333" s="309"/>
      <c r="Q333" s="309"/>
      <c r="R333" s="309"/>
      <c r="S333" s="309"/>
      <c r="T333" s="309"/>
      <c r="U333" s="309"/>
      <c r="V333" s="27"/>
    </row>
    <row r="334" spans="1:22" s="20" customFormat="1" ht="35.25" customHeight="1">
      <c r="A334" s="30"/>
      <c r="B334" s="310" t="s">
        <v>182</v>
      </c>
      <c r="C334" s="22" t="s">
        <v>93</v>
      </c>
      <c r="D334" s="281"/>
      <c r="E334" s="22"/>
      <c r="F334" s="22"/>
      <c r="G334" s="160"/>
      <c r="H334" s="160"/>
      <c r="I334" s="160"/>
      <c r="J334" s="160"/>
      <c r="K334" s="160"/>
      <c r="L334" s="311"/>
      <c r="M334" s="311"/>
      <c r="N334" s="311"/>
      <c r="O334" s="311"/>
      <c r="P334" s="311"/>
      <c r="Q334" s="311"/>
      <c r="R334" s="311"/>
      <c r="S334" s="311"/>
      <c r="T334" s="312"/>
      <c r="U334" s="24"/>
      <c r="V334" s="27"/>
    </row>
    <row r="335" spans="1:22" s="20" customFormat="1" ht="80.25" customHeight="1">
      <c r="A335" s="30"/>
      <c r="C335" s="313" t="s">
        <v>183</v>
      </c>
      <c r="D335" s="313"/>
      <c r="E335" s="313"/>
      <c r="F335" s="313"/>
      <c r="G335" s="313"/>
      <c r="H335" s="313"/>
      <c r="I335" s="313"/>
      <c r="J335" s="313"/>
      <c r="K335" s="313"/>
      <c r="L335" s="313"/>
      <c r="M335" s="313"/>
      <c r="N335" s="313"/>
      <c r="O335" s="313"/>
      <c r="P335" s="313"/>
      <c r="Q335" s="313"/>
      <c r="R335" s="313"/>
      <c r="S335" s="313"/>
      <c r="T335" s="313"/>
      <c r="U335" s="313"/>
      <c r="V335" s="27"/>
    </row>
    <row r="336" spans="1:22" s="20" customFormat="1" ht="30.75" customHeight="1">
      <c r="A336" s="30"/>
      <c r="C336" s="313" t="str">
        <f>"Komposisi anggaran dan realisasi belanja TA "&amp;'[1]2.ISIAN DATA SKPD'!D11&amp;" dapat dilihat dalam grafik berikut ini:"</f>
        <v>Komposisi anggaran dan realisasi belanja TA 2017 dapat dilihat dalam grafik berikut ini:</v>
      </c>
      <c r="D336" s="313"/>
      <c r="E336" s="313"/>
      <c r="F336" s="313"/>
      <c r="G336" s="313"/>
      <c r="H336" s="313"/>
      <c r="I336" s="313"/>
      <c r="J336" s="313"/>
      <c r="K336" s="313"/>
      <c r="L336" s="313"/>
      <c r="M336" s="313"/>
      <c r="N336" s="313"/>
      <c r="O336" s="313"/>
      <c r="P336" s="313"/>
      <c r="Q336" s="313"/>
      <c r="R336" s="313"/>
      <c r="S336" s="313"/>
      <c r="T336" s="313"/>
      <c r="U336" s="313"/>
      <c r="V336" s="27"/>
    </row>
    <row r="337" spans="1:35" s="20" customFormat="1" ht="7.5" customHeight="1">
      <c r="A337" s="30"/>
      <c r="C337" s="285"/>
      <c r="D337" s="285"/>
      <c r="E337" s="285"/>
      <c r="F337" s="285"/>
      <c r="G337" s="285"/>
      <c r="H337" s="285"/>
      <c r="I337" s="285"/>
      <c r="J337" s="285"/>
      <c r="K337" s="285"/>
      <c r="L337" s="285"/>
      <c r="M337" s="285"/>
      <c r="N337" s="285"/>
      <c r="O337" s="285"/>
      <c r="P337" s="285"/>
      <c r="Q337" s="285"/>
      <c r="R337" s="285"/>
      <c r="S337" s="285"/>
      <c r="T337" s="285"/>
      <c r="U337" s="285"/>
      <c r="V337" s="27"/>
    </row>
    <row r="338" spans="1:35" s="20" customFormat="1" ht="78.75" customHeight="1">
      <c r="A338" s="30"/>
      <c r="C338" s="285"/>
      <c r="D338" s="285"/>
      <c r="E338" s="285"/>
      <c r="F338" s="285"/>
      <c r="G338" s="285"/>
      <c r="H338" s="285"/>
      <c r="I338" s="285"/>
      <c r="J338" s="285"/>
      <c r="K338" s="285"/>
      <c r="L338" s="285"/>
      <c r="M338" s="285"/>
      <c r="N338" s="285"/>
      <c r="O338" s="285"/>
      <c r="P338" s="285"/>
      <c r="Q338" s="285"/>
      <c r="R338" s="285"/>
      <c r="S338" s="285"/>
      <c r="T338" s="285"/>
      <c r="U338" s="285"/>
      <c r="V338" s="27"/>
    </row>
    <row r="339" spans="1:35" s="20" customFormat="1" ht="32.25" customHeight="1">
      <c r="A339" s="30"/>
      <c r="C339" s="285"/>
      <c r="D339" s="285"/>
      <c r="E339" s="285"/>
      <c r="F339" s="285"/>
      <c r="G339" s="285"/>
      <c r="H339" s="285"/>
      <c r="I339" s="285"/>
      <c r="J339" s="285"/>
      <c r="K339" s="285"/>
      <c r="L339" s="285"/>
      <c r="M339" s="285"/>
      <c r="N339" s="285"/>
      <c r="O339" s="285"/>
      <c r="P339" s="285"/>
      <c r="Q339" s="285"/>
      <c r="R339" s="285"/>
      <c r="S339" s="285"/>
      <c r="T339" s="285"/>
      <c r="U339" s="285"/>
      <c r="V339" s="27"/>
    </row>
    <row r="340" spans="1:35" s="20" customFormat="1" ht="20.25" customHeight="1">
      <c r="A340" s="30"/>
      <c r="C340" s="285"/>
      <c r="D340" s="285"/>
      <c r="E340" s="285"/>
      <c r="F340" s="285"/>
      <c r="G340" s="285"/>
      <c r="H340" s="285"/>
      <c r="I340" s="285"/>
      <c r="J340" s="285"/>
      <c r="K340" s="285"/>
      <c r="L340" s="285"/>
      <c r="M340" s="285"/>
      <c r="N340" s="285"/>
      <c r="O340" s="285"/>
      <c r="P340" s="285"/>
      <c r="Q340" s="285"/>
      <c r="R340" s="285"/>
      <c r="S340" s="285"/>
      <c r="T340" s="285"/>
      <c r="U340" s="285"/>
      <c r="V340" s="27"/>
    </row>
    <row r="341" spans="1:35" s="20" customFormat="1" ht="20.25" customHeight="1">
      <c r="A341" s="30"/>
      <c r="C341" s="285"/>
      <c r="D341" s="285"/>
      <c r="E341" s="285"/>
      <c r="F341" s="285"/>
      <c r="G341" s="285"/>
      <c r="H341" s="285"/>
      <c r="I341" s="285"/>
      <c r="J341" s="285"/>
      <c r="K341" s="285"/>
      <c r="L341" s="285"/>
      <c r="M341" s="285"/>
      <c r="N341" s="285"/>
      <c r="O341" s="285"/>
      <c r="P341" s="285"/>
      <c r="Q341" s="285"/>
      <c r="R341" s="285"/>
      <c r="S341" s="285"/>
      <c r="T341" s="285"/>
      <c r="U341" s="285"/>
      <c r="V341" s="85"/>
      <c r="W341" s="71"/>
      <c r="X341" s="71"/>
      <c r="Y341" s="71"/>
      <c r="Z341" s="71"/>
      <c r="AA341" s="314"/>
      <c r="AB341" s="315" t="s">
        <v>130</v>
      </c>
      <c r="AC341" s="316"/>
      <c r="AD341" s="316"/>
      <c r="AE341" s="317"/>
      <c r="AF341" s="315" t="s">
        <v>184</v>
      </c>
      <c r="AG341" s="316"/>
      <c r="AH341" s="316"/>
      <c r="AI341" s="317"/>
    </row>
    <row r="342" spans="1:35" s="20" customFormat="1" ht="20.100000000000001" customHeight="1">
      <c r="A342" s="30"/>
      <c r="C342" s="285"/>
      <c r="D342" s="285"/>
      <c r="E342" s="285"/>
      <c r="F342" s="285"/>
      <c r="G342" s="285"/>
      <c r="H342" s="285"/>
      <c r="I342" s="285"/>
      <c r="J342" s="285"/>
      <c r="K342" s="285"/>
      <c r="L342" s="285"/>
      <c r="M342" s="285"/>
      <c r="N342" s="285"/>
      <c r="O342" s="285"/>
      <c r="P342" s="285"/>
      <c r="Q342" s="285"/>
      <c r="R342" s="285"/>
      <c r="S342" s="285"/>
      <c r="T342" s="285"/>
      <c r="U342" s="285"/>
      <c r="V342" s="318" t="str">
        <f>A353</f>
        <v>BELANJA OPERASI</v>
      </c>
      <c r="W342" s="318"/>
      <c r="X342" s="318"/>
      <c r="Y342" s="318"/>
      <c r="Z342" s="318"/>
      <c r="AA342" s="319"/>
      <c r="AB342" s="320">
        <f>E353</f>
        <v>31158545710</v>
      </c>
      <c r="AC342" s="321"/>
      <c r="AD342" s="321"/>
      <c r="AE342" s="322"/>
      <c r="AF342" s="320">
        <f>J353</f>
        <v>29077125184</v>
      </c>
      <c r="AG342" s="321"/>
      <c r="AH342" s="321"/>
      <c r="AI342" s="322"/>
    </row>
    <row r="343" spans="1:35" s="20" customFormat="1" ht="13.5" customHeight="1">
      <c r="A343" s="30"/>
      <c r="C343" s="285"/>
      <c r="D343" s="285"/>
      <c r="E343" s="285"/>
      <c r="F343" s="285"/>
      <c r="G343" s="285"/>
      <c r="H343" s="285"/>
      <c r="I343" s="285"/>
      <c r="J343" s="285"/>
      <c r="K343" s="285"/>
      <c r="L343" s="285"/>
      <c r="M343" s="285"/>
      <c r="N343" s="285"/>
      <c r="O343" s="285"/>
      <c r="P343" s="285"/>
      <c r="Q343" s="285"/>
      <c r="R343" s="285"/>
      <c r="S343" s="285"/>
      <c r="T343" s="285"/>
      <c r="U343" s="285"/>
      <c r="V343" s="318" t="str">
        <f>A354</f>
        <v>BELANJA MODAL</v>
      </c>
      <c r="W343" s="318"/>
      <c r="X343" s="318"/>
      <c r="Y343" s="318"/>
      <c r="Z343" s="318"/>
      <c r="AA343" s="319"/>
      <c r="AB343" s="320">
        <f>E354</f>
        <v>120018163510</v>
      </c>
      <c r="AC343" s="321"/>
      <c r="AD343" s="321"/>
      <c r="AE343" s="322"/>
      <c r="AF343" s="320">
        <f>J354</f>
        <v>108399309790</v>
      </c>
      <c r="AG343" s="321"/>
      <c r="AH343" s="321"/>
      <c r="AI343" s="322"/>
    </row>
    <row r="344" spans="1:35" s="20" customFormat="1" ht="20.100000000000001" customHeight="1">
      <c r="A344" s="30"/>
      <c r="C344" s="285"/>
      <c r="D344" s="285"/>
      <c r="E344" s="285"/>
      <c r="F344" s="285"/>
      <c r="G344" s="285"/>
      <c r="H344" s="285"/>
      <c r="I344" s="285"/>
      <c r="J344" s="285"/>
      <c r="K344" s="285"/>
      <c r="L344" s="285"/>
      <c r="M344" s="285"/>
      <c r="N344" s="285"/>
      <c r="O344" s="285"/>
      <c r="P344" s="285"/>
      <c r="Q344" s="285"/>
      <c r="R344" s="285"/>
      <c r="S344" s="285"/>
      <c r="T344" s="285"/>
      <c r="U344" s="285"/>
      <c r="V344" s="318" t="str">
        <f>A355</f>
        <v>BELANJA TAK TERDUGA</v>
      </c>
      <c r="W344" s="318"/>
      <c r="X344" s="318"/>
      <c r="Y344" s="318"/>
      <c r="Z344" s="318"/>
      <c r="AA344" s="319"/>
      <c r="AB344" s="320">
        <f>E355</f>
        <v>0</v>
      </c>
      <c r="AC344" s="321"/>
      <c r="AD344" s="321"/>
      <c r="AE344" s="322"/>
      <c r="AF344" s="320">
        <f>J355</f>
        <v>0</v>
      </c>
      <c r="AG344" s="321"/>
      <c r="AH344" s="321"/>
      <c r="AI344" s="322"/>
    </row>
    <row r="345" spans="1:35" s="20" customFormat="1" ht="20.100000000000001" customHeight="1">
      <c r="A345" s="30"/>
      <c r="C345" s="285"/>
      <c r="D345" s="285"/>
      <c r="E345" s="285"/>
      <c r="F345" s="285"/>
      <c r="G345" s="285"/>
      <c r="H345" s="285"/>
      <c r="I345" s="285"/>
      <c r="J345" s="285"/>
      <c r="K345" s="285"/>
      <c r="L345" s="285"/>
      <c r="M345" s="285"/>
      <c r="N345" s="285"/>
      <c r="O345" s="285"/>
      <c r="P345" s="285"/>
      <c r="Q345" s="285"/>
      <c r="R345" s="285"/>
      <c r="S345" s="285"/>
      <c r="T345" s="285"/>
      <c r="U345" s="285"/>
      <c r="V345" s="318" t="str">
        <f>A356</f>
        <v>TRANSFER</v>
      </c>
      <c r="W345" s="318"/>
      <c r="X345" s="318"/>
      <c r="Y345" s="318"/>
      <c r="Z345" s="318"/>
      <c r="AA345" s="319"/>
      <c r="AB345" s="320">
        <f>E356</f>
        <v>0</v>
      </c>
      <c r="AC345" s="321"/>
      <c r="AD345" s="321"/>
      <c r="AE345" s="322"/>
      <c r="AF345" s="320">
        <f>J356</f>
        <v>0</v>
      </c>
      <c r="AG345" s="321"/>
      <c r="AH345" s="321"/>
      <c r="AI345" s="322"/>
    </row>
    <row r="346" spans="1:35" s="20" customFormat="1" ht="6.75" customHeight="1">
      <c r="A346" s="30"/>
      <c r="C346" s="285"/>
      <c r="D346" s="285"/>
      <c r="E346" s="285"/>
      <c r="F346" s="285"/>
      <c r="G346" s="285"/>
      <c r="H346" s="285"/>
      <c r="I346" s="285"/>
      <c r="J346" s="285"/>
      <c r="K346" s="285"/>
      <c r="L346" s="285"/>
      <c r="M346" s="285"/>
      <c r="N346" s="285"/>
      <c r="O346" s="285"/>
      <c r="P346" s="285"/>
      <c r="Q346" s="285"/>
      <c r="R346" s="285"/>
      <c r="S346" s="285"/>
      <c r="T346" s="285"/>
      <c r="U346" s="285"/>
      <c r="V346" s="27"/>
    </row>
    <row r="347" spans="1:35" s="20" customFormat="1" ht="8.25" customHeight="1">
      <c r="A347" s="30"/>
      <c r="C347" s="285"/>
      <c r="D347" s="285"/>
      <c r="E347" s="285"/>
      <c r="F347" s="285"/>
      <c r="G347" s="285"/>
      <c r="H347" s="285"/>
      <c r="I347" s="285"/>
      <c r="J347" s="285"/>
      <c r="K347" s="285"/>
      <c r="L347" s="285"/>
      <c r="M347" s="285"/>
      <c r="N347" s="285"/>
      <c r="O347" s="285"/>
      <c r="P347" s="285"/>
      <c r="Q347" s="285"/>
      <c r="R347" s="285"/>
      <c r="S347" s="285"/>
      <c r="T347" s="285"/>
      <c r="U347" s="285"/>
      <c r="V347" s="27"/>
    </row>
    <row r="348" spans="1:35" s="20" customFormat="1" ht="7.5" customHeight="1">
      <c r="A348" s="30"/>
      <c r="C348" s="285"/>
      <c r="D348" s="285"/>
      <c r="E348" s="285"/>
      <c r="F348" s="285"/>
      <c r="G348" s="285"/>
      <c r="H348" s="285"/>
      <c r="I348" s="285"/>
      <c r="J348" s="285"/>
      <c r="K348" s="285"/>
      <c r="L348" s="285"/>
      <c r="M348" s="285"/>
      <c r="N348" s="285"/>
      <c r="O348" s="285"/>
      <c r="P348" s="285"/>
      <c r="Q348" s="285"/>
      <c r="R348" s="285"/>
      <c r="S348" s="285"/>
      <c r="T348" s="285"/>
      <c r="U348" s="285"/>
      <c r="V348" s="27"/>
    </row>
    <row r="349" spans="1:35" s="20" customFormat="1" ht="50.25" customHeight="1">
      <c r="A349" s="30"/>
      <c r="C349" s="313" t="str">
        <f>"Secara garis besar anggaran dan realisasi belanja "&amp;'[1]2.ISIAN DATA SKPD'!D2&amp;" TA "&amp;'[1]2.ISIAN DATA SKPD'!D11&amp;" serta realisasi TA "&amp;'[1]2.ISIAN DATA SKPD'!D12&amp;" dapat disajikan sebagai berikut :"</f>
        <v>Secara garis besar anggaran dan realisasi belanja Dinas Pekerjaan Umum dan Penataan Ruang TA 2017 serta realisasi TA 2016 dapat disajikan sebagai berikut :</v>
      </c>
      <c r="D349" s="313"/>
      <c r="E349" s="313"/>
      <c r="F349" s="313"/>
      <c r="G349" s="313"/>
      <c r="H349" s="313"/>
      <c r="I349" s="313"/>
      <c r="J349" s="313"/>
      <c r="K349" s="313"/>
      <c r="L349" s="313"/>
      <c r="M349" s="313"/>
      <c r="N349" s="313"/>
      <c r="O349" s="313"/>
      <c r="P349" s="313"/>
      <c r="Q349" s="313"/>
      <c r="R349" s="313"/>
      <c r="S349" s="313"/>
      <c r="T349" s="313"/>
      <c r="U349" s="313"/>
      <c r="V349" s="27"/>
    </row>
    <row r="350" spans="1:35" s="20" customFormat="1" ht="18" customHeight="1">
      <c r="A350" s="25"/>
      <c r="C350" s="285"/>
      <c r="D350" s="285"/>
      <c r="E350" s="285"/>
      <c r="F350" s="285"/>
      <c r="G350" s="285"/>
      <c r="H350" s="285"/>
      <c r="I350" s="285"/>
      <c r="J350" s="285"/>
      <c r="K350" s="285"/>
      <c r="L350" s="285"/>
      <c r="M350" s="285"/>
      <c r="N350" s="285"/>
      <c r="O350" s="285"/>
      <c r="P350" s="285"/>
      <c r="Q350" s="285"/>
      <c r="R350" s="285"/>
      <c r="S350" s="285"/>
      <c r="T350" s="285"/>
      <c r="U350" s="285"/>
      <c r="V350" s="27"/>
    </row>
    <row r="351" spans="1:35" s="20" customFormat="1" ht="22.5" customHeight="1">
      <c r="A351" s="18"/>
      <c r="B351" s="323" t="str">
        <f>"Anggaran dan Realisasi Belanja Tahun Anggaran "&amp;'[1]2.ISIAN DATA SKPD'!D11&amp;""</f>
        <v>Anggaran dan Realisasi Belanja Tahun Anggaran 2017</v>
      </c>
      <c r="C351" s="323"/>
      <c r="D351" s="323"/>
      <c r="E351" s="323"/>
      <c r="F351" s="323"/>
      <c r="G351" s="323"/>
      <c r="H351" s="323"/>
      <c r="I351" s="323"/>
      <c r="J351" s="323"/>
      <c r="K351" s="323"/>
      <c r="L351" s="323"/>
      <c r="M351" s="323"/>
      <c r="N351" s="323"/>
      <c r="O351" s="323"/>
      <c r="P351" s="323"/>
      <c r="Q351" s="323"/>
      <c r="R351" s="323"/>
      <c r="S351" s="323"/>
      <c r="T351" s="323"/>
      <c r="U351" s="323"/>
      <c r="V351" s="27"/>
    </row>
    <row r="352" spans="1:35" s="20" customFormat="1" ht="51" customHeight="1">
      <c r="A352" s="174" t="s">
        <v>84</v>
      </c>
      <c r="B352" s="175"/>
      <c r="C352" s="175"/>
      <c r="D352" s="176"/>
      <c r="E352" s="174" t="s">
        <v>130</v>
      </c>
      <c r="F352" s="175"/>
      <c r="G352" s="175"/>
      <c r="H352" s="175"/>
      <c r="I352" s="176"/>
      <c r="J352" s="174" t="str">
        <f>"Realisasi                      TA "&amp;'[1]2.ISIAN DATA SKPD'!D11&amp;""</f>
        <v>Realisasi                      TA 2017</v>
      </c>
      <c r="K352" s="175"/>
      <c r="L352" s="175"/>
      <c r="M352" s="175"/>
      <c r="N352" s="176"/>
      <c r="O352" s="174" t="str">
        <f>"Realisasi                   TA "&amp;'[1]2.ISIAN DATA SKPD'!D12&amp;""</f>
        <v>Realisasi                   TA 2016</v>
      </c>
      <c r="P352" s="175"/>
      <c r="Q352" s="175"/>
      <c r="R352" s="175"/>
      <c r="S352" s="176"/>
      <c r="T352" s="324" t="s">
        <v>185</v>
      </c>
      <c r="U352" s="325"/>
      <c r="V352" s="204" t="s">
        <v>137</v>
      </c>
      <c r="W352" s="205"/>
      <c r="X352" s="326"/>
      <c r="Y352" s="327" t="s">
        <v>136</v>
      </c>
      <c r="Z352" s="328"/>
      <c r="AA352" s="328"/>
      <c r="AB352" s="328" t="s">
        <v>137</v>
      </c>
      <c r="AC352" s="329" t="s">
        <v>138</v>
      </c>
      <c r="AD352" s="330"/>
      <c r="AE352" s="330"/>
      <c r="AF352" s="331"/>
    </row>
    <row r="353" spans="1:32" s="20" customFormat="1" ht="23.25" customHeight="1">
      <c r="A353" s="332" t="str">
        <f>'[1]3.LRA'!C40</f>
        <v>BELANJA OPERASI</v>
      </c>
      <c r="B353" s="333"/>
      <c r="C353" s="333"/>
      <c r="D353" s="334"/>
      <c r="E353" s="335">
        <f>'[1]3.LRA'!D40</f>
        <v>31158545710</v>
      </c>
      <c r="F353" s="336"/>
      <c r="G353" s="336"/>
      <c r="H353" s="336"/>
      <c r="I353" s="337"/>
      <c r="J353" s="335">
        <f>'[1]3.LRA'!E40</f>
        <v>29077125184</v>
      </c>
      <c r="K353" s="336"/>
      <c r="L353" s="336"/>
      <c r="M353" s="336"/>
      <c r="N353" s="337"/>
      <c r="O353" s="335">
        <f>'[1]3.LRA'!I40</f>
        <v>33886180038</v>
      </c>
      <c r="P353" s="336"/>
      <c r="Q353" s="336"/>
      <c r="R353" s="336"/>
      <c r="S353" s="337"/>
      <c r="T353" s="338">
        <f>(J353-O353)/O353*100</f>
        <v>-14.19178806406364</v>
      </c>
      <c r="U353" s="339"/>
      <c r="V353" s="204">
        <f>J353/E353*100</f>
        <v>93.319904769072735</v>
      </c>
      <c r="W353" s="205"/>
      <c r="X353" s="326"/>
      <c r="Y353" s="340">
        <f>E353-J353</f>
        <v>2081420526</v>
      </c>
      <c r="Z353" s="341"/>
      <c r="AA353" s="341"/>
      <c r="AB353" s="342"/>
      <c r="AC353" s="340">
        <f>J353-O353</f>
        <v>-4809054854</v>
      </c>
      <c r="AD353" s="341"/>
      <c r="AE353" s="341"/>
      <c r="AF353" s="342"/>
    </row>
    <row r="354" spans="1:32" s="20" customFormat="1" ht="18.75" customHeight="1">
      <c r="A354" s="332" t="str">
        <f>'[1]3.LRA'!C70</f>
        <v>BELANJA MODAL</v>
      </c>
      <c r="B354" s="333"/>
      <c r="C354" s="333"/>
      <c r="D354" s="334"/>
      <c r="E354" s="335">
        <f>'[1]3.LRA'!D70</f>
        <v>120018163510</v>
      </c>
      <c r="F354" s="336"/>
      <c r="G354" s="336"/>
      <c r="H354" s="336"/>
      <c r="I354" s="337"/>
      <c r="J354" s="335">
        <f>'[1]3.LRA'!E70</f>
        <v>108399309790</v>
      </c>
      <c r="K354" s="336"/>
      <c r="L354" s="336"/>
      <c r="M354" s="336"/>
      <c r="N354" s="337"/>
      <c r="O354" s="335">
        <f>'[1]3.LRA'!I70</f>
        <v>121159928564</v>
      </c>
      <c r="P354" s="336"/>
      <c r="Q354" s="336"/>
      <c r="R354" s="336"/>
      <c r="S354" s="337"/>
      <c r="T354" s="338">
        <f>(J354-O354)/O354*100</f>
        <v>-10.532045475133712</v>
      </c>
      <c r="U354" s="339"/>
      <c r="V354" s="204">
        <f>J354/E354*100</f>
        <v>90.319087227966193</v>
      </c>
      <c r="W354" s="205"/>
      <c r="X354" s="326"/>
      <c r="Y354" s="340">
        <f>E354-J354</f>
        <v>11618853720</v>
      </c>
      <c r="Z354" s="341"/>
      <c r="AA354" s="341"/>
      <c r="AB354" s="342"/>
      <c r="AC354" s="340">
        <f>J354-O354</f>
        <v>-12760618774</v>
      </c>
      <c r="AD354" s="341"/>
      <c r="AE354" s="341"/>
      <c r="AF354" s="342"/>
    </row>
    <row r="355" spans="1:32" s="20" customFormat="1" ht="27" customHeight="1">
      <c r="A355" s="343" t="str">
        <f>'[1]3.LRA'!C100</f>
        <v>BELANJA TAK TERDUGA</v>
      </c>
      <c r="B355" s="343"/>
      <c r="C355" s="343"/>
      <c r="D355" s="343"/>
      <c r="E355" s="335">
        <f>'[1]3.LRA'!D100</f>
        <v>0</v>
      </c>
      <c r="F355" s="336"/>
      <c r="G355" s="336"/>
      <c r="H355" s="336"/>
      <c r="I355" s="337"/>
      <c r="J355" s="335">
        <f>'[1]3.LRA'!E100</f>
        <v>0</v>
      </c>
      <c r="K355" s="336"/>
      <c r="L355" s="336"/>
      <c r="M355" s="336"/>
      <c r="N355" s="337"/>
      <c r="O355" s="335">
        <f>'[1]3.LRA'!I100</f>
        <v>0</v>
      </c>
      <c r="P355" s="336"/>
      <c r="Q355" s="336"/>
      <c r="R355" s="336"/>
      <c r="S355" s="337"/>
      <c r="T355" s="338">
        <v>0</v>
      </c>
      <c r="U355" s="339"/>
      <c r="V355" s="204" t="e">
        <f>J355/E355*100</f>
        <v>#DIV/0!</v>
      </c>
      <c r="W355" s="205"/>
      <c r="X355" s="205"/>
      <c r="Y355" s="210">
        <f>E355-J355</f>
        <v>0</v>
      </c>
      <c r="Z355" s="211"/>
      <c r="AA355" s="211"/>
      <c r="AB355" s="211"/>
      <c r="AC355" s="210">
        <f>J355-O355</f>
        <v>0</v>
      </c>
      <c r="AD355" s="211"/>
      <c r="AE355" s="211"/>
      <c r="AF355" s="211"/>
    </row>
    <row r="356" spans="1:32" s="20" customFormat="1" ht="15.75" customHeight="1">
      <c r="A356" s="343" t="str">
        <f>'[1]3.LRA'!C101</f>
        <v>TRANSFER</v>
      </c>
      <c r="B356" s="343"/>
      <c r="C356" s="343"/>
      <c r="D356" s="343"/>
      <c r="E356" s="335">
        <f>'[1]3.LRA'!D101</f>
        <v>0</v>
      </c>
      <c r="F356" s="336"/>
      <c r="G356" s="336"/>
      <c r="H356" s="336"/>
      <c r="I356" s="337"/>
      <c r="J356" s="335">
        <f>'[1]3.LRA'!E101</f>
        <v>0</v>
      </c>
      <c r="K356" s="336"/>
      <c r="L356" s="336"/>
      <c r="M356" s="336"/>
      <c r="N356" s="337"/>
      <c r="O356" s="335">
        <f>'[1]3.LRA'!I101</f>
        <v>0</v>
      </c>
      <c r="P356" s="336"/>
      <c r="Q356" s="336"/>
      <c r="R356" s="336"/>
      <c r="S356" s="337"/>
      <c r="T356" s="338">
        <v>0</v>
      </c>
      <c r="U356" s="339"/>
      <c r="V356" s="204" t="e">
        <f>J356/E356*100</f>
        <v>#DIV/0!</v>
      </c>
      <c r="W356" s="205"/>
      <c r="X356" s="205"/>
      <c r="Y356" s="210">
        <f>E356-J356</f>
        <v>0</v>
      </c>
      <c r="Z356" s="211"/>
      <c r="AA356" s="211"/>
      <c r="AB356" s="211"/>
      <c r="AC356" s="210">
        <f>J356-O356</f>
        <v>0</v>
      </c>
      <c r="AD356" s="211"/>
      <c r="AE356" s="211"/>
      <c r="AF356" s="211"/>
    </row>
    <row r="357" spans="1:32" s="20" customFormat="1" ht="15.75" customHeight="1">
      <c r="A357" s="344" t="s">
        <v>143</v>
      </c>
      <c r="B357" s="344"/>
      <c r="C357" s="344"/>
      <c r="D357" s="344"/>
      <c r="E357" s="335">
        <f>SUM(E353:I356)</f>
        <v>151176709220</v>
      </c>
      <c r="F357" s="336"/>
      <c r="G357" s="336"/>
      <c r="H357" s="336"/>
      <c r="I357" s="337"/>
      <c r="J357" s="335">
        <f>SUM(J353:N356)</f>
        <v>137476434974</v>
      </c>
      <c r="K357" s="336"/>
      <c r="L357" s="336"/>
      <c r="M357" s="336"/>
      <c r="N357" s="337"/>
      <c r="O357" s="345">
        <f>SUM(O353:S356)</f>
        <v>155046108602</v>
      </c>
      <c r="P357" s="346"/>
      <c r="Q357" s="346"/>
      <c r="R357" s="346"/>
      <c r="S357" s="347"/>
      <c r="T357" s="338">
        <f>(J357-O357)/O357*100</f>
        <v>-11.33190235241632</v>
      </c>
      <c r="U357" s="339"/>
      <c r="V357" s="204">
        <f>J357/E357*100</f>
        <v>90.937576087820077</v>
      </c>
      <c r="W357" s="205"/>
      <c r="X357" s="205"/>
      <c r="Y357" s="348">
        <f>E357-J357</f>
        <v>13700274246</v>
      </c>
      <c r="Z357" s="349"/>
      <c r="AA357" s="349"/>
      <c r="AB357" s="349"/>
      <c r="AC357" s="210">
        <f>J357-O357</f>
        <v>-17569673628</v>
      </c>
      <c r="AD357" s="211"/>
      <c r="AE357" s="211"/>
      <c r="AF357" s="211"/>
    </row>
    <row r="358" spans="1:32" s="20" customFormat="1" ht="15.75" customHeight="1">
      <c r="A358" s="18"/>
      <c r="B358" s="350"/>
      <c r="C358" s="350"/>
      <c r="D358" s="350"/>
      <c r="E358" s="350"/>
      <c r="F358" s="350"/>
      <c r="G358" s="350"/>
      <c r="H358" s="350"/>
      <c r="I358" s="350"/>
      <c r="J358" s="273"/>
      <c r="K358" s="351"/>
      <c r="L358" s="351"/>
      <c r="M358" s="351"/>
      <c r="N358" s="273"/>
      <c r="O358" s="351"/>
      <c r="P358" s="351"/>
      <c r="Q358" s="351"/>
      <c r="R358" s="352"/>
      <c r="S358" s="352"/>
      <c r="T358" s="352"/>
      <c r="U358" s="352"/>
      <c r="V358" s="27"/>
    </row>
    <row r="359" spans="1:32" s="20" customFormat="1" ht="60" customHeight="1">
      <c r="A359" s="18"/>
      <c r="B359" s="129" t="str">
        <f>"Realisasi Belanja TA "&amp;'[1]2.ISIAN DATA SKPD'!D11&amp;" sebesar Rp. "&amp;FIXED(J357)&amp;" atau mencapai  "&amp;FIXED(V357)&amp;"% dari anggaran belanja yang telah ditetapkan sebesar Rp. "&amp;FIXED(E357)&amp;"  kurang dari anggaran sebesar Rp. "&amp;FIXED(Y357)&amp;"."</f>
        <v>Realisasi Belanja TA 2017 sebesar Rp. 137,476,434,974.00 atau mencapai  90.94% dari anggaran belanja yang telah ditetapkan sebesar Rp. 151,176,709,220.00  kurang dari anggaran sebesar Rp. 13,700,274,246.00.</v>
      </c>
      <c r="C359" s="129"/>
      <c r="D359" s="129"/>
      <c r="E359" s="129"/>
      <c r="F359" s="129"/>
      <c r="G359" s="129"/>
      <c r="H359" s="129"/>
      <c r="I359" s="129"/>
      <c r="J359" s="129"/>
      <c r="K359" s="129"/>
      <c r="L359" s="129"/>
      <c r="M359" s="129"/>
      <c r="N359" s="129"/>
      <c r="O359" s="129"/>
      <c r="P359" s="129"/>
      <c r="Q359" s="129"/>
      <c r="R359" s="129"/>
      <c r="S359" s="129"/>
      <c r="T359" s="129"/>
      <c r="U359" s="129"/>
      <c r="V359" s="27"/>
    </row>
    <row r="360" spans="1:32" s="20" customFormat="1" ht="49.5" customHeight="1">
      <c r="A360" s="18"/>
      <c r="B360" s="129" t="str">
        <f>"Bila dibandingkan dengan TA "&amp;'[1]2.ISIAN DATA SKPD'!D12&amp;", Realisasi Belanja TA "&amp;'[1]2.ISIAN DATA SKPD'!D11&amp;" mengalami penurunan  sebesar Rp. "&amp;FIXED(AC357)&amp;"  atau "&amp;FIXED(T357)&amp;"%. Hal ini disebabkan antara lain:"</f>
        <v>Bila dibandingkan dengan TA 2016, Realisasi Belanja TA 2017 mengalami penurunan  sebesar Rp. -17,569,673,628.00  atau -11.33%. Hal ini disebabkan antara lain:</v>
      </c>
      <c r="C360" s="129"/>
      <c r="D360" s="129"/>
      <c r="E360" s="129"/>
      <c r="F360" s="129"/>
      <c r="G360" s="129"/>
      <c r="H360" s="129"/>
      <c r="I360" s="129"/>
      <c r="J360" s="129"/>
      <c r="K360" s="129"/>
      <c r="L360" s="129"/>
      <c r="M360" s="129"/>
      <c r="N360" s="129"/>
      <c r="O360" s="129"/>
      <c r="P360" s="129"/>
      <c r="Q360" s="129"/>
      <c r="R360" s="129"/>
      <c r="S360" s="129"/>
      <c r="T360" s="129"/>
      <c r="U360" s="129"/>
      <c r="V360" s="27"/>
    </row>
    <row r="361" spans="1:32" s="20" customFormat="1" ht="21" customHeight="1">
      <c r="A361" s="18"/>
      <c r="B361" s="353" t="s">
        <v>119</v>
      </c>
      <c r="C361" s="354" t="s">
        <v>186</v>
      </c>
      <c r="D361" s="354"/>
      <c r="E361" s="354"/>
      <c r="F361" s="354"/>
      <c r="G361" s="354"/>
      <c r="H361" s="354"/>
      <c r="I361" s="354"/>
      <c r="J361" s="354"/>
      <c r="K361" s="354"/>
      <c r="L361" s="354"/>
      <c r="M361" s="354"/>
      <c r="N361" s="354"/>
      <c r="O361" s="354"/>
      <c r="P361" s="354"/>
      <c r="Q361" s="354"/>
      <c r="R361" s="354"/>
      <c r="S361" s="354"/>
      <c r="T361" s="354"/>
      <c r="U361" s="355"/>
      <c r="V361" s="27"/>
    </row>
    <row r="362" spans="1:32" s="20" customFormat="1" ht="33" customHeight="1">
      <c r="A362" s="18"/>
      <c r="B362" s="353" t="s">
        <v>112</v>
      </c>
      <c r="C362" s="354" t="s">
        <v>187</v>
      </c>
      <c r="D362" s="354"/>
      <c r="E362" s="354"/>
      <c r="F362" s="354"/>
      <c r="G362" s="354"/>
      <c r="H362" s="354"/>
      <c r="I362" s="354"/>
      <c r="J362" s="354"/>
      <c r="K362" s="354"/>
      <c r="L362" s="354"/>
      <c r="M362" s="354"/>
      <c r="N362" s="354"/>
      <c r="O362" s="354"/>
      <c r="P362" s="354"/>
      <c r="Q362" s="354"/>
      <c r="R362" s="354"/>
      <c r="S362" s="354"/>
      <c r="T362" s="354"/>
      <c r="U362" s="352"/>
      <c r="V362" s="27"/>
    </row>
    <row r="363" spans="1:32" s="20" customFormat="1" ht="9" customHeight="1">
      <c r="A363" s="18"/>
      <c r="B363" s="356"/>
      <c r="C363" s="357"/>
      <c r="D363" s="357"/>
      <c r="E363" s="357"/>
      <c r="F363" s="357"/>
      <c r="G363" s="357"/>
      <c r="H363" s="357"/>
      <c r="I363" s="357"/>
      <c r="J363" s="357"/>
      <c r="K363" s="357"/>
      <c r="L363" s="357"/>
      <c r="M363" s="357"/>
      <c r="N363" s="357"/>
      <c r="O363" s="357"/>
      <c r="P363" s="357"/>
      <c r="Q363" s="357"/>
      <c r="R363" s="357"/>
      <c r="S363" s="357"/>
      <c r="T363" s="357"/>
      <c r="U363" s="352"/>
      <c r="V363" s="27"/>
    </row>
    <row r="364" spans="1:32" s="20" customFormat="1" ht="3.75" customHeight="1">
      <c r="A364" s="18"/>
      <c r="B364" s="45"/>
      <c r="C364" s="357"/>
      <c r="D364" s="357"/>
      <c r="E364" s="357"/>
      <c r="F364" s="357"/>
      <c r="G364" s="357"/>
      <c r="H364" s="357"/>
      <c r="I364" s="357"/>
      <c r="J364" s="357"/>
      <c r="K364" s="357"/>
      <c r="L364" s="357"/>
      <c r="M364" s="357"/>
      <c r="N364" s="357"/>
      <c r="O364" s="357"/>
      <c r="P364" s="357"/>
      <c r="Q364" s="357"/>
      <c r="R364" s="357"/>
      <c r="S364" s="357"/>
      <c r="T364" s="357"/>
      <c r="U364" s="352"/>
      <c r="V364" s="27"/>
    </row>
    <row r="365" spans="1:32" s="20" customFormat="1" ht="30.75" customHeight="1">
      <c r="A365" s="18"/>
      <c r="B365" s="358" t="str">
        <f>"Berikut uraian lebih lanjut realisasi belanja "&amp;'[1]2.ISIAN DATA SKPD'!D2&amp;" TA "&amp;'[1]2.ISIAN DATA SKPD'!D11&amp;"."</f>
        <v>Berikut uraian lebih lanjut realisasi belanja Dinas Pekerjaan Umum dan Penataan Ruang TA 2017.</v>
      </c>
      <c r="C365" s="358"/>
      <c r="D365" s="358"/>
      <c r="E365" s="358"/>
      <c r="F365" s="358"/>
      <c r="G365" s="358"/>
      <c r="H365" s="358"/>
      <c r="I365" s="358"/>
      <c r="J365" s="358"/>
      <c r="K365" s="358"/>
      <c r="L365" s="358"/>
      <c r="M365" s="358"/>
      <c r="N365" s="358"/>
      <c r="O365" s="358"/>
      <c r="P365" s="358"/>
      <c r="Q365" s="358"/>
      <c r="R365" s="358"/>
      <c r="S365" s="358"/>
      <c r="T365" s="358"/>
      <c r="U365" s="358"/>
      <c r="V365" s="27"/>
    </row>
    <row r="366" spans="1:32" s="20" customFormat="1" ht="18" customHeight="1">
      <c r="A366" s="30"/>
      <c r="B366" s="22" t="s">
        <v>5</v>
      </c>
      <c r="C366" s="22" t="s">
        <v>188</v>
      </c>
      <c r="D366" s="281"/>
      <c r="E366" s="22"/>
      <c r="F366" s="22"/>
      <c r="G366" s="22"/>
      <c r="H366" s="359"/>
      <c r="I366" s="27"/>
      <c r="J366" s="27"/>
      <c r="K366" s="27"/>
      <c r="L366" s="37"/>
      <c r="M366" s="37"/>
      <c r="N366" s="37"/>
      <c r="O366" s="37"/>
      <c r="P366" s="37"/>
      <c r="Q366" s="37"/>
      <c r="R366" s="37"/>
      <c r="S366" s="37"/>
      <c r="T366" s="24"/>
      <c r="U366" s="24"/>
      <c r="V366" s="27"/>
    </row>
    <row r="367" spans="1:32" s="20" customFormat="1" ht="69.75" customHeight="1">
      <c r="A367" s="30"/>
      <c r="B367" s="22"/>
      <c r="C367" s="358" t="str">
        <f>"Belanja Operasi TA "&amp;'[1]2.ISIAN DATA SKPD'!D11&amp;" dapat direalisasi sebesar Rp. "&amp;(FIXED('Calk Umum'!J375)&amp;" atau mencapai "&amp;FIXED(V372)&amp;"% dari anggaran yang telah ditetapkan sebesar Rp. "&amp;FIXED(E375)&amp;", kurang dari anggaran sebesar Rp. "&amp;FIXED(Y372)&amp;".")</f>
        <v>Belanja Operasi TA 2017 dapat direalisasi sebesar Rp. 29,077,125,184.00 atau mencapai 92.97% dari anggaran yang telah ditetapkan sebesar Rp. 31,158,545,710.00, kurang dari anggaran sebesar Rp. 1,178,917,982.00.</v>
      </c>
      <c r="D367" s="358"/>
      <c r="E367" s="358"/>
      <c r="F367" s="358"/>
      <c r="G367" s="358"/>
      <c r="H367" s="358"/>
      <c r="I367" s="358"/>
      <c r="J367" s="358"/>
      <c r="K367" s="358"/>
      <c r="L367" s="358"/>
      <c r="M367" s="358"/>
      <c r="N367" s="358"/>
      <c r="O367" s="358"/>
      <c r="P367" s="358"/>
      <c r="Q367" s="358"/>
      <c r="R367" s="358"/>
      <c r="S367" s="358"/>
      <c r="T367" s="358"/>
      <c r="U367" s="358"/>
      <c r="V367" s="27"/>
    </row>
    <row r="368" spans="1:32" s="20" customFormat="1" ht="33" customHeight="1">
      <c r="A368" s="25"/>
      <c r="C368" s="129" t="str">
        <f>"Anggaran dan Realisasi Belanja Operasi TA "&amp;'[1]2.ISIAN DATA SKPD'!D11&amp;" serta TA "&amp;'[1]2.ISIAN DATA SKPD'!D12&amp;" sebagai berikut :"</f>
        <v>Anggaran dan Realisasi Belanja Operasi TA 2017 serta TA 2016 sebagai berikut :</v>
      </c>
      <c r="D368" s="129"/>
      <c r="E368" s="129"/>
      <c r="F368" s="129"/>
      <c r="G368" s="129"/>
      <c r="H368" s="129"/>
      <c r="I368" s="129"/>
      <c r="J368" s="129"/>
      <c r="K368" s="129"/>
      <c r="L368" s="129"/>
      <c r="M368" s="129"/>
      <c r="N368" s="129"/>
      <c r="O368" s="129"/>
      <c r="P368" s="129"/>
      <c r="Q368" s="129"/>
      <c r="R368" s="129"/>
      <c r="S368" s="129"/>
      <c r="T368" s="129"/>
      <c r="U368" s="129"/>
      <c r="V368" s="27"/>
    </row>
    <row r="369" spans="1:32" s="20" customFormat="1" ht="9" customHeight="1">
      <c r="A369" s="25"/>
      <c r="B369" s="313"/>
      <c r="C369" s="313"/>
      <c r="D369" s="313"/>
      <c r="E369" s="313"/>
      <c r="F369" s="313"/>
      <c r="G369" s="313"/>
      <c r="H369" s="313"/>
      <c r="I369" s="313"/>
      <c r="J369" s="313"/>
      <c r="K369" s="313"/>
      <c r="L369" s="313"/>
      <c r="M369" s="313"/>
      <c r="N369" s="313"/>
      <c r="O369" s="313"/>
      <c r="P369" s="313"/>
      <c r="Q369" s="313"/>
      <c r="R369" s="313"/>
      <c r="S369" s="313"/>
      <c r="T369" s="313"/>
      <c r="U369" s="285"/>
      <c r="V369" s="27"/>
    </row>
    <row r="370" spans="1:32" s="20" customFormat="1" ht="33.75" customHeight="1">
      <c r="A370" s="177" t="s">
        <v>188</v>
      </c>
      <c r="B370" s="360"/>
      <c r="C370" s="360"/>
      <c r="D370" s="178"/>
      <c r="E370" s="174" t="s">
        <v>130</v>
      </c>
      <c r="F370" s="175"/>
      <c r="G370" s="175"/>
      <c r="H370" s="175"/>
      <c r="I370" s="176"/>
      <c r="J370" s="174" t="str">
        <f>J352</f>
        <v>Realisasi                      TA 2017</v>
      </c>
      <c r="K370" s="175"/>
      <c r="L370" s="175"/>
      <c r="M370" s="175"/>
      <c r="N370" s="176"/>
      <c r="O370" s="174" t="str">
        <f>O352</f>
        <v>Realisasi                   TA 2016</v>
      </c>
      <c r="P370" s="175"/>
      <c r="Q370" s="175"/>
      <c r="R370" s="175"/>
      <c r="S370" s="176"/>
      <c r="T370" s="324" t="s">
        <v>185</v>
      </c>
      <c r="U370" s="361"/>
      <c r="V370" s="204" t="s">
        <v>137</v>
      </c>
      <c r="W370" s="205"/>
      <c r="X370" s="205"/>
      <c r="Y370" s="362" t="s">
        <v>136</v>
      </c>
      <c r="Z370" s="363"/>
      <c r="AA370" s="363"/>
      <c r="AB370" s="363" t="s">
        <v>137</v>
      </c>
      <c r="AC370" s="362" t="s">
        <v>138</v>
      </c>
      <c r="AD370" s="363"/>
      <c r="AE370" s="363"/>
      <c r="AF370" s="363"/>
    </row>
    <row r="371" spans="1:32" s="20" customFormat="1" ht="27.75" customHeight="1">
      <c r="A371" s="364" t="str">
        <f>'[1]3.LRA'!C41</f>
        <v>Belanja Pegawai</v>
      </c>
      <c r="B371" s="364"/>
      <c r="C371" s="364"/>
      <c r="D371" s="364"/>
      <c r="E371" s="365">
        <f>'[1]3.LRA'!D41</f>
        <v>10368233555</v>
      </c>
      <c r="F371" s="366"/>
      <c r="G371" s="366"/>
      <c r="H371" s="366"/>
      <c r="I371" s="367"/>
      <c r="J371" s="365">
        <f>'[1]3.LRA'!E41</f>
        <v>9677969811</v>
      </c>
      <c r="K371" s="366"/>
      <c r="L371" s="366"/>
      <c r="M371" s="366"/>
      <c r="N371" s="367"/>
      <c r="O371" s="365">
        <f>'[1]3.LRA'!I41</f>
        <v>13282497941</v>
      </c>
      <c r="P371" s="366"/>
      <c r="Q371" s="366"/>
      <c r="R371" s="366"/>
      <c r="S371" s="367"/>
      <c r="T371" s="338">
        <f>(J371-O371)/O371*100</f>
        <v>-27.137426604627247</v>
      </c>
      <c r="U371" s="339"/>
      <c r="V371" s="204">
        <f>J371/E371*100</f>
        <v>93.34251355027466</v>
      </c>
      <c r="W371" s="205"/>
      <c r="X371" s="205"/>
      <c r="Y371" s="208">
        <f>E371-J371</f>
        <v>690263744</v>
      </c>
      <c r="Z371" s="209"/>
      <c r="AA371" s="209"/>
      <c r="AB371" s="209"/>
      <c r="AC371" s="210">
        <f>J371-O371</f>
        <v>-3604528130</v>
      </c>
      <c r="AD371" s="211"/>
      <c r="AE371" s="211"/>
      <c r="AF371" s="211"/>
    </row>
    <row r="372" spans="1:32" s="20" customFormat="1" ht="18" customHeight="1">
      <c r="A372" s="195" t="str">
        <f>'[1]3.LRA'!C49</f>
        <v>Belanja Barang dan Jasa</v>
      </c>
      <c r="B372" s="196"/>
      <c r="C372" s="196"/>
      <c r="D372" s="197"/>
      <c r="E372" s="365">
        <f>'[1]3.LRA'!D49-'[1]3.LRA'!D62</f>
        <v>16775356155</v>
      </c>
      <c r="F372" s="368"/>
      <c r="G372" s="368"/>
      <c r="H372" s="368"/>
      <c r="I372" s="369"/>
      <c r="J372" s="365">
        <f>'[1]3.LRA'!E49-'[1]3.LRA'!E62</f>
        <v>15596438173</v>
      </c>
      <c r="K372" s="368"/>
      <c r="L372" s="368"/>
      <c r="M372" s="368"/>
      <c r="N372" s="369"/>
      <c r="O372" s="365">
        <f>'[1]3.LRA'!I49-'[1]3.LRA'!I62</f>
        <v>19478949647</v>
      </c>
      <c r="P372" s="368"/>
      <c r="Q372" s="368"/>
      <c r="R372" s="368"/>
      <c r="S372" s="369"/>
      <c r="T372" s="338">
        <f>(J372-O372)/O372*100</f>
        <v>-19.931831768957597</v>
      </c>
      <c r="U372" s="339"/>
      <c r="V372" s="204">
        <f>J372/E372*100</f>
        <v>92.972322190318351</v>
      </c>
      <c r="W372" s="205"/>
      <c r="X372" s="205"/>
      <c r="Y372" s="208">
        <f>E372-J372</f>
        <v>1178917982</v>
      </c>
      <c r="Z372" s="209"/>
      <c r="AA372" s="209"/>
      <c r="AB372" s="209"/>
      <c r="AC372" s="210">
        <f>J372-O372</f>
        <v>-3882511474</v>
      </c>
      <c r="AD372" s="211"/>
      <c r="AE372" s="211"/>
      <c r="AF372" s="211"/>
    </row>
    <row r="373" spans="1:32" s="20" customFormat="1" ht="18" customHeight="1">
      <c r="A373" s="195" t="s">
        <v>189</v>
      </c>
      <c r="B373" s="196"/>
      <c r="C373" s="196"/>
      <c r="D373" s="197"/>
      <c r="E373" s="365">
        <f>'[1]3.LRA'!D62</f>
        <v>4014956000</v>
      </c>
      <c r="F373" s="368"/>
      <c r="G373" s="368"/>
      <c r="H373" s="368"/>
      <c r="I373" s="369"/>
      <c r="J373" s="365">
        <f>'[1]3.LRA'!E62</f>
        <v>3802717200</v>
      </c>
      <c r="K373" s="368"/>
      <c r="L373" s="368"/>
      <c r="M373" s="368"/>
      <c r="N373" s="369"/>
      <c r="O373" s="365">
        <f>'[1]3.LRA'!I62</f>
        <v>1124732450</v>
      </c>
      <c r="P373" s="368"/>
      <c r="Q373" s="368"/>
      <c r="R373" s="368"/>
      <c r="S373" s="369"/>
      <c r="T373" s="338">
        <f>(J373-O373)/O373*100</f>
        <v>238.09971429205231</v>
      </c>
      <c r="U373" s="339"/>
      <c r="V373" s="204">
        <f>J375/E375*100</f>
        <v>93.319904769072735</v>
      </c>
      <c r="W373" s="205"/>
      <c r="X373" s="205"/>
      <c r="Y373" s="208">
        <f>E375-J375</f>
        <v>2081420526</v>
      </c>
      <c r="Z373" s="209"/>
      <c r="AA373" s="209"/>
      <c r="AB373" s="209"/>
      <c r="AC373" s="210">
        <f>J375-O375</f>
        <v>-4809054854</v>
      </c>
      <c r="AD373" s="211"/>
      <c r="AE373" s="211"/>
      <c r="AF373" s="211"/>
    </row>
    <row r="374" spans="1:32" s="20" customFormat="1" ht="18" customHeight="1">
      <c r="A374" s="195" t="s">
        <v>190</v>
      </c>
      <c r="B374" s="196"/>
      <c r="C374" s="196"/>
      <c r="D374" s="197"/>
      <c r="E374" s="365">
        <v>0</v>
      </c>
      <c r="F374" s="368"/>
      <c r="G374" s="368"/>
      <c r="H374" s="368"/>
      <c r="I374" s="369"/>
      <c r="J374" s="365">
        <v>0</v>
      </c>
      <c r="K374" s="368"/>
      <c r="L374" s="368"/>
      <c r="M374" s="368"/>
      <c r="N374" s="369"/>
      <c r="O374" s="365">
        <v>0</v>
      </c>
      <c r="P374" s="368"/>
      <c r="Q374" s="368"/>
      <c r="R374" s="368"/>
      <c r="S374" s="369"/>
      <c r="T374" s="338">
        <v>0</v>
      </c>
      <c r="U374" s="339"/>
      <c r="V374" s="27"/>
    </row>
    <row r="375" spans="1:32" s="20" customFormat="1" ht="30" customHeight="1">
      <c r="A375" s="370" t="s">
        <v>143</v>
      </c>
      <c r="B375" s="371"/>
      <c r="C375" s="371"/>
      <c r="D375" s="372"/>
      <c r="E375" s="373">
        <f>SUM(E371:I374)</f>
        <v>31158545710</v>
      </c>
      <c r="F375" s="374"/>
      <c r="G375" s="374"/>
      <c r="H375" s="374"/>
      <c r="I375" s="375"/>
      <c r="J375" s="373">
        <f>SUM(J371:N374)</f>
        <v>29077125184</v>
      </c>
      <c r="K375" s="374"/>
      <c r="L375" s="374"/>
      <c r="M375" s="374"/>
      <c r="N375" s="375"/>
      <c r="O375" s="373">
        <f>SUM(O371:S374)</f>
        <v>33886180038</v>
      </c>
      <c r="P375" s="374"/>
      <c r="Q375" s="374"/>
      <c r="R375" s="374"/>
      <c r="S375" s="375"/>
      <c r="T375" s="376">
        <f>(J375-O375)/O375*100</f>
        <v>-14.19178806406364</v>
      </c>
      <c r="U375" s="377"/>
      <c r="V375" s="27"/>
    </row>
    <row r="376" spans="1:32" s="20" customFormat="1" ht="21" customHeight="1">
      <c r="A376" s="378"/>
      <c r="B376" s="379"/>
      <c r="C376" s="379"/>
      <c r="D376" s="379"/>
      <c r="E376" s="380"/>
      <c r="F376" s="380"/>
      <c r="G376" s="380"/>
      <c r="H376" s="380"/>
      <c r="I376" s="380"/>
      <c r="J376" s="381"/>
      <c r="K376" s="381"/>
      <c r="L376" s="381"/>
      <c r="M376" s="381"/>
      <c r="N376" s="381"/>
      <c r="O376" s="381"/>
      <c r="P376" s="381"/>
      <c r="Q376" s="381"/>
      <c r="R376" s="381"/>
      <c r="S376" s="381"/>
      <c r="T376" s="382"/>
      <c r="U376" s="382"/>
      <c r="V376" s="27"/>
    </row>
    <row r="377" spans="1:32" s="20" customFormat="1" ht="46.5" customHeight="1">
      <c r="A377" s="383"/>
      <c r="B377" s="379"/>
      <c r="C377" s="384" t="str">
        <f>"Bila dibandingkan dengan TA "&amp;'[1]2.ISIAN DATA SKPD'!D12&amp;", Realisasi Belanja Operasi TA "&amp;'[1]2.ISIAN DATA SKPD'!D11&amp;" mengalami penurunan sebesar Rp. "&amp;FIXED(AC373)&amp;"  atau "&amp;FIXED(T375)&amp;"%."</f>
        <v>Bila dibandingkan dengan TA 2016, Realisasi Belanja Operasi TA 2017 mengalami penurunan sebesar Rp. -4,809,054,854.00  atau -14.19%.</v>
      </c>
      <c r="D377" s="384"/>
      <c r="E377" s="384"/>
      <c r="F377" s="384"/>
      <c r="G377" s="384"/>
      <c r="H377" s="384"/>
      <c r="I377" s="384"/>
      <c r="J377" s="384"/>
      <c r="K377" s="384"/>
      <c r="L377" s="384"/>
      <c r="M377" s="384"/>
      <c r="N377" s="384"/>
      <c r="O377" s="384"/>
      <c r="P377" s="384"/>
      <c r="Q377" s="384"/>
      <c r="R377" s="384"/>
      <c r="S377" s="384"/>
      <c r="T377" s="384"/>
      <c r="U377" s="384"/>
      <c r="V377" s="27"/>
    </row>
    <row r="378" spans="1:32" s="20" customFormat="1" ht="26.25" customHeight="1">
      <c r="A378" s="25"/>
      <c r="C378" s="129" t="s">
        <v>191</v>
      </c>
      <c r="D378" s="129"/>
      <c r="E378" s="129"/>
      <c r="F378" s="129"/>
      <c r="G378" s="129"/>
      <c r="H378" s="129"/>
      <c r="I378" s="129"/>
      <c r="J378" s="129"/>
      <c r="K378" s="129"/>
      <c r="L378" s="129"/>
      <c r="M378" s="129"/>
      <c r="N378" s="129"/>
      <c r="O378" s="129"/>
      <c r="P378" s="129"/>
      <c r="Q378" s="129"/>
      <c r="R378" s="129"/>
      <c r="S378" s="129"/>
      <c r="T378" s="129"/>
      <c r="U378" s="129"/>
      <c r="V378" s="27"/>
    </row>
    <row r="379" spans="1:32" s="20" customFormat="1" ht="17.25" customHeight="1">
      <c r="A379" s="25"/>
      <c r="C379" s="224" t="s">
        <v>192</v>
      </c>
      <c r="D379" s="224"/>
      <c r="E379" s="224"/>
      <c r="F379" s="224"/>
      <c r="G379" s="224"/>
      <c r="H379" s="224"/>
      <c r="I379" s="224"/>
      <c r="J379" s="224"/>
      <c r="K379" s="224"/>
      <c r="L379" s="224"/>
      <c r="M379" s="224"/>
      <c r="N379" s="224"/>
      <c r="O379" s="224"/>
      <c r="P379" s="224"/>
      <c r="Q379" s="224"/>
      <c r="R379" s="224"/>
      <c r="S379" s="224"/>
      <c r="T379" s="224"/>
      <c r="U379" s="224"/>
      <c r="V379" s="27"/>
    </row>
    <row r="380" spans="1:32" s="20" customFormat="1" ht="114" customHeight="1">
      <c r="A380" s="18"/>
      <c r="D380" s="157" t="s">
        <v>193</v>
      </c>
      <c r="E380" s="157"/>
      <c r="F380" s="157"/>
      <c r="G380" s="157"/>
      <c r="H380" s="157"/>
      <c r="I380" s="157"/>
      <c r="J380" s="157"/>
      <c r="K380" s="157"/>
      <c r="L380" s="157"/>
      <c r="M380" s="157"/>
      <c r="N380" s="157"/>
      <c r="O380" s="157"/>
      <c r="P380" s="157"/>
      <c r="Q380" s="157"/>
      <c r="R380" s="157"/>
      <c r="S380" s="157"/>
      <c r="T380" s="157"/>
      <c r="U380" s="157"/>
      <c r="V380" s="27"/>
    </row>
    <row r="381" spans="1:32" s="20" customFormat="1" ht="72" customHeight="1">
      <c r="A381" s="18"/>
      <c r="D381" s="157" t="str">
        <f>"Belanja Pegawai pada pos Belanja Operasi TA. "&amp;'[1]2.ISIAN DATA SKPD'!D11&amp;" dapat direalisasikan sebesar Rp. "&amp;FIXED(J392)&amp;" atau "&amp;FIXED(V392)&amp;"% dari anggaran sebesar Rp. "&amp;FIXED(E392)&amp;" kurang dari anggaran sebesar Rp. "&amp;FIXED(Y392)&amp;""</f>
        <v>Belanja Pegawai pada pos Belanja Operasi TA. 2017 dapat direalisasikan sebesar Rp. 9,677,969,811.00 atau 93.34% dari anggaran sebesar Rp. 10,368,233,555.00 kurang dari anggaran sebesar Rp. 690,263,744.00</v>
      </c>
      <c r="E381" s="157"/>
      <c r="F381" s="157"/>
      <c r="G381" s="157"/>
      <c r="H381" s="157"/>
      <c r="I381" s="157"/>
      <c r="J381" s="157"/>
      <c r="K381" s="157"/>
      <c r="L381" s="157"/>
      <c r="M381" s="157"/>
      <c r="N381" s="157"/>
      <c r="O381" s="157"/>
      <c r="P381" s="157"/>
      <c r="Q381" s="157"/>
      <c r="R381" s="157"/>
      <c r="S381" s="157"/>
      <c r="T381" s="157"/>
      <c r="U381" s="157"/>
      <c r="V381" s="27"/>
    </row>
    <row r="382" spans="1:32" s="20" customFormat="1" ht="3" customHeight="1">
      <c r="A382" s="18"/>
      <c r="D382" s="385"/>
      <c r="E382" s="385"/>
      <c r="F382" s="385"/>
      <c r="G382" s="385"/>
      <c r="H382" s="385"/>
      <c r="I382" s="385"/>
      <c r="J382" s="385"/>
      <c r="K382" s="385"/>
      <c r="L382" s="385"/>
      <c r="M382" s="385"/>
      <c r="N382" s="385"/>
      <c r="O382" s="385"/>
      <c r="P382" s="385"/>
      <c r="Q382" s="385"/>
      <c r="R382" s="385"/>
      <c r="S382" s="385"/>
      <c r="T382" s="385"/>
      <c r="U382" s="385"/>
      <c r="V382" s="27"/>
    </row>
    <row r="383" spans="1:32" s="20" customFormat="1" ht="24" customHeight="1">
      <c r="A383" s="18"/>
      <c r="B383" s="386" t="str">
        <f>"Perbandingan Belanja Pegawai TA "&amp;'[1]2.ISIAN DATA SKPD'!D11&amp;" dan "&amp;'[1]2.ISIAN DATA SKPD'!D12&amp;""</f>
        <v>Perbandingan Belanja Pegawai TA 2017 dan 2016</v>
      </c>
      <c r="C383" s="386"/>
      <c r="D383" s="386"/>
      <c r="E383" s="386"/>
      <c r="F383" s="386"/>
      <c r="G383" s="386"/>
      <c r="H383" s="386"/>
      <c r="I383" s="386"/>
      <c r="J383" s="386"/>
      <c r="K383" s="386"/>
      <c r="L383" s="386"/>
      <c r="M383" s="386"/>
      <c r="N383" s="386"/>
      <c r="O383" s="386"/>
      <c r="P383" s="386"/>
      <c r="Q383" s="386"/>
      <c r="R383" s="386"/>
      <c r="S383" s="386"/>
      <c r="T383" s="386"/>
      <c r="U383" s="386"/>
      <c r="V383" s="27"/>
    </row>
    <row r="384" spans="1:32" s="20" customFormat="1" ht="31.5" customHeight="1">
      <c r="A384" s="387" t="s">
        <v>194</v>
      </c>
      <c r="B384" s="387"/>
      <c r="C384" s="387"/>
      <c r="D384" s="387"/>
      <c r="E384" s="175" t="s">
        <v>130</v>
      </c>
      <c r="F384" s="175"/>
      <c r="G384" s="175"/>
      <c r="H384" s="175"/>
      <c r="I384" s="176"/>
      <c r="J384" s="174" t="str">
        <f>J352</f>
        <v>Realisasi                      TA 2017</v>
      </c>
      <c r="K384" s="175"/>
      <c r="L384" s="175"/>
      <c r="M384" s="175"/>
      <c r="N384" s="176"/>
      <c r="O384" s="174" t="str">
        <f>O352</f>
        <v>Realisasi                   TA 2016</v>
      </c>
      <c r="P384" s="175"/>
      <c r="Q384" s="175"/>
      <c r="R384" s="175"/>
      <c r="S384" s="176"/>
      <c r="T384" s="324" t="s">
        <v>185</v>
      </c>
      <c r="U384" s="361"/>
      <c r="V384" s="204" t="s">
        <v>137</v>
      </c>
      <c r="W384" s="205"/>
      <c r="X384" s="205"/>
      <c r="Y384" s="362" t="s">
        <v>136</v>
      </c>
      <c r="Z384" s="363"/>
      <c r="AA384" s="363"/>
      <c r="AB384" s="363" t="s">
        <v>137</v>
      </c>
      <c r="AC384" s="362" t="s">
        <v>138</v>
      </c>
      <c r="AD384" s="363"/>
      <c r="AE384" s="363"/>
      <c r="AF384" s="363"/>
    </row>
    <row r="385" spans="1:38" s="20" customFormat="1" ht="13.5" customHeight="1">
      <c r="A385" s="364" t="str">
        <f>'[1]3.LRA'!C42</f>
        <v xml:space="preserve"> Gaji dan Tunjangan Pegawai</v>
      </c>
      <c r="B385" s="364"/>
      <c r="C385" s="364"/>
      <c r="D385" s="364"/>
      <c r="E385" s="336">
        <f>'[1]3.LRA'!D42</f>
        <v>7121974555</v>
      </c>
      <c r="F385" s="336"/>
      <c r="G385" s="336"/>
      <c r="H385" s="336"/>
      <c r="I385" s="337"/>
      <c r="J385" s="336">
        <f>'[1]3.LRA'!E42</f>
        <v>6688753849</v>
      </c>
      <c r="K385" s="336"/>
      <c r="L385" s="336"/>
      <c r="M385" s="336"/>
      <c r="N385" s="337"/>
      <c r="O385" s="388">
        <f>'[1]3.LRA'!I42</f>
        <v>9437058969</v>
      </c>
      <c r="P385" s="389"/>
      <c r="Q385" s="389"/>
      <c r="R385" s="389"/>
      <c r="S385" s="390"/>
      <c r="T385" s="338">
        <f>(J385-O385)/O385*100</f>
        <v>-29.12247479885383</v>
      </c>
      <c r="U385" s="339"/>
      <c r="V385" s="204">
        <f t="shared" ref="V385:V392" si="7">J385/E385*100</f>
        <v>93.91712645623177</v>
      </c>
      <c r="W385" s="205"/>
      <c r="X385" s="205"/>
      <c r="Y385" s="208">
        <f t="shared" ref="Y385:Y392" si="8">E385-J385</f>
        <v>433220706</v>
      </c>
      <c r="Z385" s="209"/>
      <c r="AA385" s="209"/>
      <c r="AB385" s="209"/>
      <c r="AC385" s="210">
        <f t="shared" ref="AC385:AC392" si="9">J385-O385</f>
        <v>-2748305120</v>
      </c>
      <c r="AD385" s="211"/>
      <c r="AE385" s="211"/>
      <c r="AF385" s="211"/>
    </row>
    <row r="386" spans="1:38" s="20" customFormat="1" ht="22.5" customHeight="1">
      <c r="A386" s="364" t="str">
        <f>'[1]3.LRA'!C43</f>
        <v>Tambahan Penghasilan PNS</v>
      </c>
      <c r="B386" s="364"/>
      <c r="C386" s="364"/>
      <c r="D386" s="364"/>
      <c r="E386" s="336">
        <f>'[1]3.LRA'!D43</f>
        <v>3154800000</v>
      </c>
      <c r="F386" s="336"/>
      <c r="G386" s="336"/>
      <c r="H386" s="336"/>
      <c r="I386" s="337"/>
      <c r="J386" s="336">
        <f>'[1]3.LRA'!E43</f>
        <v>2909809500</v>
      </c>
      <c r="K386" s="336"/>
      <c r="L386" s="336"/>
      <c r="M386" s="336"/>
      <c r="N386" s="337"/>
      <c r="O386" s="388">
        <f>'[1]3.LRA'!I43</f>
        <v>3638636300</v>
      </c>
      <c r="P386" s="389"/>
      <c r="Q386" s="389"/>
      <c r="R386" s="389"/>
      <c r="S386" s="390"/>
      <c r="T386" s="338">
        <f t="shared" ref="T386:T392" si="10">(J386-O386)/O386*100</f>
        <v>-20.030218463988831</v>
      </c>
      <c r="U386" s="339"/>
      <c r="V386" s="204">
        <f t="shared" si="7"/>
        <v>92.234357170026627</v>
      </c>
      <c r="W386" s="205"/>
      <c r="X386" s="205"/>
      <c r="Y386" s="208">
        <f t="shared" si="8"/>
        <v>244990500</v>
      </c>
      <c r="Z386" s="209"/>
      <c r="AA386" s="209"/>
      <c r="AB386" s="209"/>
      <c r="AC386" s="210">
        <f t="shared" si="9"/>
        <v>-728826800</v>
      </c>
      <c r="AD386" s="211"/>
      <c r="AE386" s="211"/>
      <c r="AF386" s="211"/>
    </row>
    <row r="387" spans="1:38" s="20" customFormat="1" ht="23.25" customHeight="1">
      <c r="A387" s="364" t="str">
        <f>'[1]3.LRA'!C44</f>
        <v xml:space="preserve"> Insentif Pemungutan Pajak</v>
      </c>
      <c r="B387" s="364"/>
      <c r="C387" s="364"/>
      <c r="D387" s="364"/>
      <c r="E387" s="336">
        <f>'[1]3.LRA'!D44</f>
        <v>0</v>
      </c>
      <c r="F387" s="336"/>
      <c r="G387" s="336"/>
      <c r="H387" s="336"/>
      <c r="I387" s="337"/>
      <c r="J387" s="336">
        <f>'[1]3.LRA'!E44</f>
        <v>0</v>
      </c>
      <c r="K387" s="336"/>
      <c r="L387" s="336"/>
      <c r="M387" s="336"/>
      <c r="N387" s="337"/>
      <c r="O387" s="388">
        <f>'[1]3.LRA'!I44</f>
        <v>0</v>
      </c>
      <c r="P387" s="389"/>
      <c r="Q387" s="389"/>
      <c r="R387" s="389"/>
      <c r="S387" s="390"/>
      <c r="T387" s="338"/>
      <c r="U387" s="339"/>
      <c r="V387" s="204" t="e">
        <f t="shared" si="7"/>
        <v>#DIV/0!</v>
      </c>
      <c r="W387" s="205"/>
      <c r="X387" s="205"/>
      <c r="Y387" s="208">
        <f t="shared" si="8"/>
        <v>0</v>
      </c>
      <c r="Z387" s="209"/>
      <c r="AA387" s="209"/>
      <c r="AB387" s="209"/>
      <c r="AC387" s="210">
        <f t="shared" si="9"/>
        <v>0</v>
      </c>
      <c r="AD387" s="211"/>
      <c r="AE387" s="211"/>
      <c r="AF387" s="211"/>
    </row>
    <row r="388" spans="1:38" s="20" customFormat="1" ht="27.75" customHeight="1">
      <c r="A388" s="364" t="str">
        <f>'[1]3.LRA'!C45</f>
        <v>Insentif Pemungutan Retribusi</v>
      </c>
      <c r="B388" s="364"/>
      <c r="C388" s="364"/>
      <c r="D388" s="364"/>
      <c r="E388" s="336">
        <f>'[1]3.LRA'!D45</f>
        <v>9250000</v>
      </c>
      <c r="F388" s="336"/>
      <c r="G388" s="336"/>
      <c r="H388" s="336"/>
      <c r="I388" s="337"/>
      <c r="J388" s="336">
        <f>'[1]3.LRA'!E45</f>
        <v>3944462</v>
      </c>
      <c r="K388" s="336"/>
      <c r="L388" s="336"/>
      <c r="M388" s="336"/>
      <c r="N388" s="337"/>
      <c r="O388" s="388">
        <f>'[1]3.LRA'!I45</f>
        <v>11175672</v>
      </c>
      <c r="P388" s="389"/>
      <c r="Q388" s="389"/>
      <c r="R388" s="389"/>
      <c r="S388" s="390"/>
      <c r="T388" s="338">
        <f t="shared" si="10"/>
        <v>-64.704923337048541</v>
      </c>
      <c r="U388" s="339"/>
      <c r="V388" s="204">
        <f t="shared" si="7"/>
        <v>42.642832432432428</v>
      </c>
      <c r="W388" s="205"/>
      <c r="X388" s="205"/>
      <c r="Y388" s="208">
        <f t="shared" si="8"/>
        <v>5305538</v>
      </c>
      <c r="Z388" s="209"/>
      <c r="AA388" s="209"/>
      <c r="AB388" s="209"/>
      <c r="AC388" s="210">
        <f t="shared" si="9"/>
        <v>-7231210</v>
      </c>
      <c r="AD388" s="211"/>
      <c r="AE388" s="211"/>
      <c r="AF388" s="211"/>
    </row>
    <row r="389" spans="1:38" s="20" customFormat="1" ht="15.75" customHeight="1">
      <c r="A389" s="364" t="str">
        <f>'[1]3.LRA'!C46</f>
        <v xml:space="preserve"> Honor Non PNS</v>
      </c>
      <c r="B389" s="364"/>
      <c r="C389" s="364"/>
      <c r="D389" s="364"/>
      <c r="E389" s="336">
        <f>'[1]3.LRA'!D46</f>
        <v>0</v>
      </c>
      <c r="F389" s="336"/>
      <c r="G389" s="336"/>
      <c r="H389" s="336"/>
      <c r="I389" s="337"/>
      <c r="J389" s="336">
        <f>'[1]3.LRA'!E46</f>
        <v>0</v>
      </c>
      <c r="K389" s="336"/>
      <c r="L389" s="336"/>
      <c r="M389" s="336"/>
      <c r="N389" s="337"/>
      <c r="O389" s="388">
        <f>'[1]3.LRA'!I46</f>
        <v>0</v>
      </c>
      <c r="P389" s="389"/>
      <c r="Q389" s="389"/>
      <c r="R389" s="389"/>
      <c r="S389" s="390"/>
      <c r="T389" s="338"/>
      <c r="U389" s="339"/>
      <c r="V389" s="204" t="e">
        <f t="shared" si="7"/>
        <v>#DIV/0!</v>
      </c>
      <c r="W389" s="205"/>
      <c r="X389" s="205"/>
      <c r="Y389" s="208">
        <f t="shared" si="8"/>
        <v>0</v>
      </c>
      <c r="Z389" s="209"/>
      <c r="AA389" s="209"/>
      <c r="AB389" s="209"/>
      <c r="AC389" s="210">
        <f t="shared" si="9"/>
        <v>0</v>
      </c>
      <c r="AD389" s="211"/>
      <c r="AE389" s="211"/>
      <c r="AF389" s="211"/>
    </row>
    <row r="390" spans="1:38" s="20" customFormat="1" ht="14.25" customHeight="1">
      <c r="A390" s="364" t="str">
        <f>'[1]3.LRA'!C47</f>
        <v>Uang Lembur</v>
      </c>
      <c r="B390" s="364"/>
      <c r="C390" s="364"/>
      <c r="D390" s="364"/>
      <c r="E390" s="336">
        <f>'[1]3.LRA'!D47</f>
        <v>82209000</v>
      </c>
      <c r="F390" s="336"/>
      <c r="G390" s="336"/>
      <c r="H390" s="336"/>
      <c r="I390" s="337"/>
      <c r="J390" s="336">
        <f>'[1]3.LRA'!E47</f>
        <v>75462000</v>
      </c>
      <c r="K390" s="336"/>
      <c r="L390" s="336"/>
      <c r="M390" s="336"/>
      <c r="N390" s="337"/>
      <c r="O390" s="388">
        <f>'[1]3.LRA'!I47</f>
        <v>195627000</v>
      </c>
      <c r="P390" s="389"/>
      <c r="Q390" s="389"/>
      <c r="R390" s="389"/>
      <c r="S390" s="390"/>
      <c r="T390" s="338">
        <f t="shared" si="10"/>
        <v>-61.425570090018248</v>
      </c>
      <c r="U390" s="339"/>
      <c r="V390" s="204">
        <f t="shared" si="7"/>
        <v>91.792869393861992</v>
      </c>
      <c r="W390" s="205"/>
      <c r="X390" s="205"/>
      <c r="Y390" s="208">
        <f t="shared" si="8"/>
        <v>6747000</v>
      </c>
      <c r="Z390" s="209"/>
      <c r="AA390" s="209"/>
      <c r="AB390" s="209"/>
      <c r="AC390" s="210">
        <f t="shared" si="9"/>
        <v>-120165000</v>
      </c>
      <c r="AD390" s="211"/>
      <c r="AE390" s="211"/>
      <c r="AF390" s="211"/>
    </row>
    <row r="391" spans="1:38" s="391" customFormat="1" ht="23.25" customHeight="1">
      <c r="A391" s="364" t="str">
        <f>'[1]3.LRA'!C48</f>
        <v>Belanja Pegawai BLUD</v>
      </c>
      <c r="B391" s="364"/>
      <c r="C391" s="364"/>
      <c r="D391" s="364"/>
      <c r="E391" s="336">
        <f>'[1]3.LRA'!D48</f>
        <v>0</v>
      </c>
      <c r="F391" s="336"/>
      <c r="G391" s="336"/>
      <c r="H391" s="336"/>
      <c r="I391" s="337"/>
      <c r="J391" s="336">
        <f>'[1]3.LRA'!E48</f>
        <v>0</v>
      </c>
      <c r="K391" s="336"/>
      <c r="L391" s="336"/>
      <c r="M391" s="336"/>
      <c r="N391" s="337"/>
      <c r="O391" s="388">
        <f>'[1]3.LRA'!I48</f>
        <v>0</v>
      </c>
      <c r="P391" s="389"/>
      <c r="Q391" s="389"/>
      <c r="R391" s="389"/>
      <c r="S391" s="390"/>
      <c r="T391" s="338"/>
      <c r="U391" s="339"/>
      <c r="V391" s="204" t="e">
        <f t="shared" si="7"/>
        <v>#DIV/0!</v>
      </c>
      <c r="W391" s="205"/>
      <c r="X391" s="205"/>
      <c r="Y391" s="208">
        <f t="shared" si="8"/>
        <v>0</v>
      </c>
      <c r="Z391" s="209"/>
      <c r="AA391" s="209"/>
      <c r="AB391" s="209"/>
      <c r="AC391" s="210">
        <f t="shared" si="9"/>
        <v>0</v>
      </c>
      <c r="AD391" s="211"/>
      <c r="AE391" s="211"/>
      <c r="AF391" s="211"/>
    </row>
    <row r="392" spans="1:38" s="20" customFormat="1" ht="24.75" customHeight="1">
      <c r="A392" s="174" t="s">
        <v>143</v>
      </c>
      <c r="B392" s="175"/>
      <c r="C392" s="175"/>
      <c r="D392" s="176"/>
      <c r="E392" s="392">
        <f>SUM(E385:I391)</f>
        <v>10368233555</v>
      </c>
      <c r="F392" s="393"/>
      <c r="G392" s="393"/>
      <c r="H392" s="393"/>
      <c r="I392" s="394"/>
      <c r="J392" s="392">
        <f>SUM(J385:N391)</f>
        <v>9677969811</v>
      </c>
      <c r="K392" s="393"/>
      <c r="L392" s="393"/>
      <c r="M392" s="393"/>
      <c r="N392" s="394"/>
      <c r="O392" s="395">
        <f>SUM(O385:S391)</f>
        <v>13282497941</v>
      </c>
      <c r="P392" s="396"/>
      <c r="Q392" s="396"/>
      <c r="R392" s="396"/>
      <c r="S392" s="397"/>
      <c r="T392" s="398">
        <f t="shared" si="10"/>
        <v>-27.137426604627247</v>
      </c>
      <c r="U392" s="399"/>
      <c r="V392" s="204">
        <f t="shared" si="7"/>
        <v>93.34251355027466</v>
      </c>
      <c r="W392" s="205"/>
      <c r="X392" s="205"/>
      <c r="Y392" s="208">
        <f t="shared" si="8"/>
        <v>690263744</v>
      </c>
      <c r="Z392" s="209"/>
      <c r="AA392" s="209"/>
      <c r="AB392" s="209"/>
      <c r="AC392" s="210">
        <f t="shared" si="9"/>
        <v>-3604528130</v>
      </c>
      <c r="AD392" s="211"/>
      <c r="AE392" s="211"/>
      <c r="AF392" s="211"/>
    </row>
    <row r="393" spans="1:38" s="20" customFormat="1" ht="15" customHeight="1">
      <c r="A393" s="400"/>
      <c r="B393" s="400"/>
      <c r="C393" s="400"/>
      <c r="D393" s="400"/>
      <c r="E393" s="401"/>
      <c r="F393" s="351"/>
      <c r="G393" s="351"/>
      <c r="H393" s="351"/>
      <c r="I393" s="351"/>
      <c r="J393" s="401"/>
      <c r="K393" s="351"/>
      <c r="L393" s="351"/>
      <c r="M393" s="351"/>
      <c r="N393" s="351"/>
      <c r="O393" s="401"/>
      <c r="P393" s="351"/>
      <c r="Q393" s="351"/>
      <c r="R393" s="351"/>
      <c r="S393" s="351"/>
      <c r="T393" s="402"/>
      <c r="U393" s="402"/>
      <c r="V393" s="27"/>
    </row>
    <row r="394" spans="1:38" s="20" customFormat="1" ht="77.25" customHeight="1">
      <c r="A394" s="400"/>
      <c r="B394" s="400"/>
      <c r="C394" s="400"/>
      <c r="D394" s="157" t="str">
        <f>"Bila dibandingkan dengan TA "&amp;'[1]2.ISIAN DATA SKPD'!D12&amp;", Realisasi Belanja Pegawai TA "&amp;'[1]2.ISIAN DATA SKPD'!D11&amp;" mengalami penurunan sebesar  "&amp;FIXED(T392)&amp;"%  atau  Rp"&amp;FIXED(AC392)&amp;"%. Belanja pegawai  ini digunakan antara lain untuk honor, gaji tenaga kontrak maupun gaji pegawai  bukan PNS."</f>
        <v>Bila dibandingkan dengan TA 2016, Realisasi Belanja Pegawai TA 2017 mengalami penurunan sebesar  -27.14%  atau  Rp-3,604,528,130.00%. Belanja pegawai  ini digunakan antara lain untuk honor, gaji tenaga kontrak maupun gaji pegawai  bukan PNS.</v>
      </c>
      <c r="E394" s="157"/>
      <c r="F394" s="157"/>
      <c r="G394" s="157"/>
      <c r="H394" s="157"/>
      <c r="I394" s="157"/>
      <c r="J394" s="157"/>
      <c r="K394" s="157"/>
      <c r="L394" s="157"/>
      <c r="M394" s="157"/>
      <c r="N394" s="157"/>
      <c r="O394" s="157"/>
      <c r="P394" s="157"/>
      <c r="Q394" s="157"/>
      <c r="R394" s="157"/>
      <c r="S394" s="157"/>
      <c r="T394" s="157"/>
      <c r="U394" s="157"/>
      <c r="V394" s="403"/>
      <c r="W394" s="403"/>
      <c r="X394" s="403"/>
    </row>
    <row r="395" spans="1:38" s="20" customFormat="1" ht="9.75" customHeight="1">
      <c r="A395" s="400"/>
      <c r="B395" s="400"/>
      <c r="C395" s="400"/>
      <c r="D395" s="225"/>
      <c r="E395" s="225"/>
      <c r="F395" s="225"/>
      <c r="G395" s="225"/>
      <c r="H395" s="225"/>
      <c r="I395" s="225"/>
      <c r="J395" s="225"/>
      <c r="K395" s="225"/>
      <c r="L395" s="225"/>
      <c r="M395" s="225"/>
      <c r="N395" s="225"/>
      <c r="O395" s="225"/>
      <c r="P395" s="225"/>
      <c r="Q395" s="225"/>
      <c r="R395" s="225"/>
      <c r="S395" s="225"/>
      <c r="T395" s="225"/>
      <c r="U395" s="225"/>
      <c r="V395" s="385"/>
      <c r="W395" s="385"/>
      <c r="X395" s="385"/>
      <c r="Y395" s="385"/>
      <c r="Z395" s="385"/>
      <c r="AA395" s="385"/>
      <c r="AB395" s="385"/>
      <c r="AC395" s="385"/>
      <c r="AD395" s="385"/>
      <c r="AE395" s="385"/>
      <c r="AF395" s="385"/>
    </row>
    <row r="396" spans="1:38" s="20" customFormat="1" ht="15.75" customHeight="1">
      <c r="A396" s="25"/>
      <c r="C396" s="38" t="s">
        <v>112</v>
      </c>
      <c r="D396" s="359" t="s">
        <v>195</v>
      </c>
      <c r="E396" s="359"/>
      <c r="F396" s="359"/>
      <c r="G396" s="359"/>
      <c r="H396" s="359"/>
      <c r="I396" s="359"/>
      <c r="J396" s="359"/>
      <c r="K396" s="359"/>
      <c r="L396" s="37"/>
      <c r="M396" s="37"/>
      <c r="N396" s="37"/>
      <c r="O396" s="37"/>
      <c r="P396" s="37"/>
      <c r="Q396" s="37"/>
      <c r="R396" s="37"/>
      <c r="S396" s="37"/>
      <c r="T396" s="24"/>
      <c r="U396" s="24"/>
      <c r="V396" s="27"/>
    </row>
    <row r="397" spans="1:38" s="20" customFormat="1" ht="67.5" customHeight="1">
      <c r="A397" s="25"/>
      <c r="D397" s="157" t="str">
        <f>"Belanja barang  TA. "&amp;'[1]2.ISIAN DATA SKPD'!D11&amp;" dapat direalisasikan sebesar Rp. "&amp;FIXED(J420)&amp;" atau mencapai "&amp;FIXED(V420)&amp;"% dari anggaran yang telah ditetapkan sebesar Rp. "&amp;FIXED(E420)&amp;" atau kurang dari anggaran sebesar Rp. "&amp;FIXED(Y420)&amp;""</f>
        <v>Belanja barang  TA. 2017 dapat direalisasikan sebesar Rp. 15,596,438,173.00 atau mencapai 92.97% dari anggaran yang telah ditetapkan sebesar Rp. 16,775,356,155.00 atau kurang dari anggaran sebesar Rp. 1,178,917,982.00</v>
      </c>
      <c r="E397" s="157"/>
      <c r="F397" s="157"/>
      <c r="G397" s="157"/>
      <c r="H397" s="157"/>
      <c r="I397" s="157"/>
      <c r="J397" s="157"/>
      <c r="K397" s="157"/>
      <c r="L397" s="157"/>
      <c r="M397" s="157"/>
      <c r="N397" s="157"/>
      <c r="O397" s="157"/>
      <c r="P397" s="157"/>
      <c r="Q397" s="157"/>
      <c r="R397" s="157"/>
      <c r="S397" s="157"/>
      <c r="T397" s="157"/>
      <c r="U397" s="157"/>
      <c r="V397" s="27"/>
    </row>
    <row r="398" spans="1:38" s="20" customFormat="1" ht="68.25" customHeight="1">
      <c r="A398" s="18"/>
      <c r="D398" s="157" t="str">
        <f>"Bila dibandingkan dengan TA "&amp;'[1]2.ISIAN DATA SKPD'!D12&amp;", Realisasi belanja barang  TA "&amp;'[1]2.ISIAN DATA SKPD'!D11&amp;" mengalami penurunan sebesar Rp. "&amp;FIXED('[1]3.LRA'!L49)&amp;"  atau "&amp;FIXED('[1]3.LRA'!K49)&amp;"%. Realisai belanja barang  dapat dilihat pada tabel dibawah ini."</f>
        <v>Bila dibandingkan dengan TA 2016, Realisasi belanja barang  TA 2017 mengalami penurunan sebesar Rp. -1,204,526,724.00  atau -5.85%. Realisai belanja barang  dapat dilihat pada tabel dibawah ini.</v>
      </c>
      <c r="E398" s="157"/>
      <c r="F398" s="157"/>
      <c r="G398" s="157"/>
      <c r="H398" s="157"/>
      <c r="I398" s="157"/>
      <c r="J398" s="157"/>
      <c r="K398" s="157"/>
      <c r="L398" s="157"/>
      <c r="M398" s="157"/>
      <c r="N398" s="157"/>
      <c r="O398" s="157"/>
      <c r="P398" s="157"/>
      <c r="Q398" s="157"/>
      <c r="R398" s="157"/>
      <c r="S398" s="157"/>
      <c r="T398" s="157"/>
      <c r="U398" s="157"/>
      <c r="V398" s="27"/>
      <c r="AG398" s="385"/>
      <c r="AH398" s="385"/>
      <c r="AI398" s="385"/>
      <c r="AJ398" s="385"/>
      <c r="AK398" s="385"/>
      <c r="AL398" s="385"/>
    </row>
    <row r="399" spans="1:38" s="20" customFormat="1" ht="22.5" customHeight="1">
      <c r="A399" s="18"/>
      <c r="B399" s="386" t="str">
        <f>"Perbandingan Belanja Barang  TA "&amp;'[1]2.ISIAN DATA SKPD'!D11&amp;" dan "&amp;'[1]2.ISIAN DATA SKPD'!D12&amp;""</f>
        <v>Perbandingan Belanja Barang  TA 2017 dan 2016</v>
      </c>
      <c r="C399" s="386"/>
      <c r="D399" s="386"/>
      <c r="E399" s="386"/>
      <c r="F399" s="386"/>
      <c r="G399" s="386"/>
      <c r="H399" s="386"/>
      <c r="I399" s="386"/>
      <c r="J399" s="386"/>
      <c r="K399" s="386"/>
      <c r="L399" s="386"/>
      <c r="M399" s="386"/>
      <c r="N399" s="386"/>
      <c r="O399" s="386"/>
      <c r="P399" s="386"/>
      <c r="Q399" s="386"/>
      <c r="R399" s="386"/>
      <c r="S399" s="386"/>
      <c r="T399" s="386"/>
      <c r="U399" s="386"/>
      <c r="V399" s="27"/>
    </row>
    <row r="400" spans="1:38" s="20" customFormat="1" ht="25.5" customHeight="1">
      <c r="A400" s="174" t="s">
        <v>195</v>
      </c>
      <c r="B400" s="175"/>
      <c r="C400" s="175"/>
      <c r="D400" s="175"/>
      <c r="E400" s="387" t="s">
        <v>130</v>
      </c>
      <c r="F400" s="387"/>
      <c r="G400" s="387"/>
      <c r="H400" s="387"/>
      <c r="I400" s="387"/>
      <c r="J400" s="174" t="str">
        <f>J370</f>
        <v>Realisasi                      TA 2017</v>
      </c>
      <c r="K400" s="175"/>
      <c r="L400" s="175"/>
      <c r="M400" s="175"/>
      <c r="N400" s="176"/>
      <c r="O400" s="174" t="str">
        <f>O384</f>
        <v>Realisasi                   TA 2016</v>
      </c>
      <c r="P400" s="175"/>
      <c r="Q400" s="175"/>
      <c r="R400" s="175"/>
      <c r="S400" s="176"/>
      <c r="T400" s="324" t="s">
        <v>185</v>
      </c>
      <c r="U400" s="361"/>
      <c r="V400" s="204" t="s">
        <v>137</v>
      </c>
      <c r="W400" s="205"/>
      <c r="X400" s="205"/>
      <c r="Y400" s="362" t="s">
        <v>136</v>
      </c>
      <c r="Z400" s="363"/>
      <c r="AA400" s="363"/>
      <c r="AB400" s="363" t="s">
        <v>137</v>
      </c>
      <c r="AC400" s="362" t="s">
        <v>138</v>
      </c>
      <c r="AD400" s="363"/>
      <c r="AE400" s="363"/>
      <c r="AF400" s="363"/>
    </row>
    <row r="401" spans="1:32" s="20" customFormat="1" ht="24" customHeight="1">
      <c r="A401" s="364" t="str">
        <f>'[1]3.LRA'!C50</f>
        <v>Belanja Bahan Pakai Habis</v>
      </c>
      <c r="B401" s="364"/>
      <c r="C401" s="364"/>
      <c r="D401" s="364"/>
      <c r="E401" s="336">
        <f>'[1]3.LRA'!D50</f>
        <v>161640360</v>
      </c>
      <c r="F401" s="336"/>
      <c r="G401" s="336"/>
      <c r="H401" s="336"/>
      <c r="I401" s="337"/>
      <c r="J401" s="336">
        <f>'[1]3.LRA'!E50</f>
        <v>138287534</v>
      </c>
      <c r="K401" s="336"/>
      <c r="L401" s="336"/>
      <c r="M401" s="336"/>
      <c r="N401" s="337"/>
      <c r="O401" s="335">
        <f>'[1]3.LRA'!I50</f>
        <v>642417759</v>
      </c>
      <c r="P401" s="336"/>
      <c r="Q401" s="336"/>
      <c r="R401" s="336"/>
      <c r="S401" s="337"/>
      <c r="T401" s="338">
        <f>(J401-O401)/O401*100</f>
        <v>-78.473893029473359</v>
      </c>
      <c r="U401" s="339"/>
      <c r="V401" s="204">
        <f t="shared" ref="V401:V419" si="11">J401/E401*100</f>
        <v>85.552602085271275</v>
      </c>
      <c r="W401" s="205"/>
      <c r="X401" s="205"/>
      <c r="Y401" s="208">
        <f>E401-J401</f>
        <v>23352826</v>
      </c>
      <c r="Z401" s="209"/>
      <c r="AA401" s="209"/>
      <c r="AB401" s="209"/>
      <c r="AC401" s="208">
        <f>J401-O401</f>
        <v>-504130225</v>
      </c>
      <c r="AD401" s="209"/>
      <c r="AE401" s="209"/>
      <c r="AF401" s="209"/>
    </row>
    <row r="402" spans="1:32" s="20" customFormat="1" ht="36" customHeight="1">
      <c r="A402" s="364" t="str">
        <f>'[1]3.LRA'!C51</f>
        <v>Belanja Bahan/Material</v>
      </c>
      <c r="B402" s="364"/>
      <c r="C402" s="364"/>
      <c r="D402" s="364"/>
      <c r="E402" s="336">
        <f>'[1]3.LRA'!D51</f>
        <v>3413272319</v>
      </c>
      <c r="F402" s="336"/>
      <c r="G402" s="336"/>
      <c r="H402" s="336"/>
      <c r="I402" s="337"/>
      <c r="J402" s="336">
        <f>'[1]3.LRA'!E51</f>
        <v>3343614085</v>
      </c>
      <c r="K402" s="336"/>
      <c r="L402" s="336"/>
      <c r="M402" s="336"/>
      <c r="N402" s="337"/>
      <c r="O402" s="335">
        <f>'[1]3.LRA'!I51</f>
        <v>6251803628</v>
      </c>
      <c r="P402" s="336"/>
      <c r="Q402" s="336"/>
      <c r="R402" s="336"/>
      <c r="S402" s="337"/>
      <c r="T402" s="338">
        <f t="shared" ref="T402:T420" si="12">(J402-O402)/O402*100</f>
        <v>-46.517608614177668</v>
      </c>
      <c r="U402" s="339"/>
      <c r="V402" s="204">
        <f t="shared" si="11"/>
        <v>97.959194945793016</v>
      </c>
      <c r="W402" s="205"/>
      <c r="X402" s="205"/>
      <c r="Y402" s="362" t="s">
        <v>136</v>
      </c>
      <c r="Z402" s="363"/>
      <c r="AA402" s="363"/>
      <c r="AB402" s="363" t="s">
        <v>137</v>
      </c>
      <c r="AC402" s="362" t="s">
        <v>196</v>
      </c>
      <c r="AD402" s="363"/>
      <c r="AE402" s="363"/>
      <c r="AF402" s="363"/>
    </row>
    <row r="403" spans="1:32" s="20" customFormat="1" ht="52.5" customHeight="1">
      <c r="A403" s="343" t="str">
        <f>'[1]3.LRA'!C52</f>
        <v>Belanja Jasa Kantor</v>
      </c>
      <c r="B403" s="343"/>
      <c r="C403" s="343"/>
      <c r="D403" s="343"/>
      <c r="E403" s="336">
        <f>'[1]3.LRA'!D52</f>
        <v>9325286000</v>
      </c>
      <c r="F403" s="336"/>
      <c r="G403" s="336"/>
      <c r="H403" s="336"/>
      <c r="I403" s="337"/>
      <c r="J403" s="336">
        <f>'[1]3.LRA'!E52</f>
        <v>8889274413</v>
      </c>
      <c r="K403" s="336"/>
      <c r="L403" s="336"/>
      <c r="M403" s="336"/>
      <c r="N403" s="337"/>
      <c r="O403" s="335">
        <f>'[1]3.LRA'!I52</f>
        <v>6523071107</v>
      </c>
      <c r="P403" s="336"/>
      <c r="Q403" s="336"/>
      <c r="R403" s="336"/>
      <c r="S403" s="337"/>
      <c r="T403" s="338">
        <f t="shared" si="12"/>
        <v>36.274375477231786</v>
      </c>
      <c r="U403" s="339"/>
      <c r="V403" s="204">
        <f t="shared" si="11"/>
        <v>95.32441592676085</v>
      </c>
      <c r="W403" s="205"/>
      <c r="X403" s="205"/>
      <c r="Y403" s="208">
        <f>E403-J403</f>
        <v>436011587</v>
      </c>
      <c r="Z403" s="209"/>
      <c r="AA403" s="209"/>
      <c r="AB403" s="209"/>
      <c r="AC403" s="208">
        <f>J403-O403</f>
        <v>2366203306</v>
      </c>
      <c r="AD403" s="209"/>
      <c r="AE403" s="209"/>
      <c r="AF403" s="209"/>
    </row>
    <row r="404" spans="1:32" s="20" customFormat="1" ht="32.25" customHeight="1">
      <c r="A404" s="364" t="str">
        <f>'[1]3.LRA'!C53</f>
        <v>Belanja Perawatan Kendaraan Bermotor</v>
      </c>
      <c r="B404" s="364"/>
      <c r="C404" s="364"/>
      <c r="D404" s="364"/>
      <c r="E404" s="336">
        <f>'[1]3.LRA'!D53</f>
        <v>348983620</v>
      </c>
      <c r="F404" s="336"/>
      <c r="G404" s="336"/>
      <c r="H404" s="336"/>
      <c r="I404" s="337"/>
      <c r="J404" s="336">
        <f>'[1]3.LRA'!E53</f>
        <v>309008104</v>
      </c>
      <c r="K404" s="336"/>
      <c r="L404" s="336"/>
      <c r="M404" s="336"/>
      <c r="N404" s="337"/>
      <c r="O404" s="335">
        <f>'[1]3.LRA'!I53</f>
        <v>1723789876</v>
      </c>
      <c r="P404" s="336"/>
      <c r="Q404" s="336"/>
      <c r="R404" s="336"/>
      <c r="S404" s="337"/>
      <c r="T404" s="338">
        <f t="shared" si="12"/>
        <v>-82.07391119403465</v>
      </c>
      <c r="U404" s="339"/>
      <c r="V404" s="204">
        <f t="shared" si="11"/>
        <v>88.545159798617476</v>
      </c>
      <c r="W404" s="205"/>
      <c r="X404" s="205"/>
      <c r="Y404" s="362" t="s">
        <v>136</v>
      </c>
      <c r="Z404" s="363"/>
      <c r="AA404" s="363"/>
      <c r="AB404" s="363" t="s">
        <v>137</v>
      </c>
      <c r="AC404" s="362" t="s">
        <v>197</v>
      </c>
      <c r="AD404" s="363"/>
      <c r="AE404" s="363"/>
      <c r="AF404" s="363"/>
    </row>
    <row r="405" spans="1:32" s="20" customFormat="1" ht="34.5" customHeight="1">
      <c r="A405" s="364" t="str">
        <f>'[1]3.LRA'!C54</f>
        <v>Belanja Cetak dan Penggandaan</v>
      </c>
      <c r="B405" s="363"/>
      <c r="C405" s="363"/>
      <c r="D405" s="363"/>
      <c r="E405" s="336">
        <f>'[1]3.LRA'!D54</f>
        <v>114234325</v>
      </c>
      <c r="F405" s="336"/>
      <c r="G405" s="336"/>
      <c r="H405" s="336"/>
      <c r="I405" s="337"/>
      <c r="J405" s="336">
        <f>'[1]3.LRA'!E54</f>
        <v>100209560</v>
      </c>
      <c r="K405" s="336"/>
      <c r="L405" s="336"/>
      <c r="M405" s="336"/>
      <c r="N405" s="337"/>
      <c r="O405" s="335">
        <f>'[1]3.LRA'!I54</f>
        <v>135258690</v>
      </c>
      <c r="P405" s="336"/>
      <c r="Q405" s="336"/>
      <c r="R405" s="336"/>
      <c r="S405" s="337"/>
      <c r="T405" s="338">
        <f t="shared" si="12"/>
        <v>-25.912664095741277</v>
      </c>
      <c r="U405" s="339"/>
      <c r="V405" s="204">
        <f t="shared" si="11"/>
        <v>87.722810109833446</v>
      </c>
      <c r="W405" s="205"/>
      <c r="X405" s="205"/>
      <c r="Y405" s="208">
        <f>E405-J405</f>
        <v>14024765</v>
      </c>
      <c r="Z405" s="209"/>
      <c r="AA405" s="209"/>
      <c r="AB405" s="209"/>
      <c r="AC405" s="208">
        <f>J405-O405</f>
        <v>-35049130</v>
      </c>
      <c r="AD405" s="209"/>
      <c r="AE405" s="209"/>
      <c r="AF405" s="209"/>
    </row>
    <row r="406" spans="1:32" s="20" customFormat="1" ht="28.5" customHeight="1">
      <c r="A406" s="364" t="str">
        <f>'[1]3.LRA'!C55</f>
        <v>Belanja Sewa Rumah/Gedung/ Gudang/Parkir</v>
      </c>
      <c r="B406" s="363"/>
      <c r="C406" s="363"/>
      <c r="D406" s="363"/>
      <c r="E406" s="336">
        <f>'[1]3.LRA'!D55</f>
        <v>0</v>
      </c>
      <c r="F406" s="336"/>
      <c r="G406" s="336"/>
      <c r="H406" s="336"/>
      <c r="I406" s="337"/>
      <c r="J406" s="336">
        <f>'[1]3.LRA'!E55</f>
        <v>0</v>
      </c>
      <c r="K406" s="336"/>
      <c r="L406" s="336"/>
      <c r="M406" s="336"/>
      <c r="N406" s="337"/>
      <c r="O406" s="335">
        <f>'[1]3.LRA'!I55</f>
        <v>1300000</v>
      </c>
      <c r="P406" s="336"/>
      <c r="Q406" s="336"/>
      <c r="R406" s="336"/>
      <c r="S406" s="337"/>
      <c r="T406" s="338">
        <f t="shared" si="12"/>
        <v>-100</v>
      </c>
      <c r="U406" s="339"/>
      <c r="V406" s="204" t="e">
        <f t="shared" si="11"/>
        <v>#DIV/0!</v>
      </c>
      <c r="W406" s="205"/>
      <c r="X406" s="205"/>
      <c r="Y406" s="362" t="s">
        <v>136</v>
      </c>
      <c r="Z406" s="363"/>
      <c r="AA406" s="363"/>
      <c r="AB406" s="363" t="s">
        <v>137</v>
      </c>
      <c r="AC406" s="362" t="s">
        <v>198</v>
      </c>
      <c r="AD406" s="363"/>
      <c r="AE406" s="363"/>
      <c r="AF406" s="363"/>
    </row>
    <row r="407" spans="1:32" s="20" customFormat="1" ht="30.75" customHeight="1">
      <c r="A407" s="364" t="str">
        <f>'[1]3.LRA'!C56</f>
        <v>Belanja Sewa Sarana Mobilitas</v>
      </c>
      <c r="B407" s="363"/>
      <c r="C407" s="363"/>
      <c r="D407" s="363"/>
      <c r="E407" s="336">
        <f>'[1]3.LRA'!D56</f>
        <v>20500000</v>
      </c>
      <c r="F407" s="336"/>
      <c r="G407" s="336"/>
      <c r="H407" s="336"/>
      <c r="I407" s="337"/>
      <c r="J407" s="336">
        <f>'[1]3.LRA'!E56</f>
        <v>20500000</v>
      </c>
      <c r="K407" s="336"/>
      <c r="L407" s="336"/>
      <c r="M407" s="336"/>
      <c r="N407" s="337"/>
      <c r="O407" s="335">
        <f>'[1]3.LRA'!I56</f>
        <v>24650000</v>
      </c>
      <c r="P407" s="336"/>
      <c r="Q407" s="336"/>
      <c r="R407" s="336"/>
      <c r="S407" s="337"/>
      <c r="T407" s="338">
        <f t="shared" si="12"/>
        <v>-16.835699797160245</v>
      </c>
      <c r="U407" s="339"/>
      <c r="V407" s="204">
        <f t="shared" si="11"/>
        <v>100</v>
      </c>
      <c r="W407" s="205"/>
      <c r="X407" s="205"/>
      <c r="Y407" s="208">
        <f>E407-J407</f>
        <v>0</v>
      </c>
      <c r="Z407" s="209"/>
      <c r="AA407" s="209"/>
      <c r="AB407" s="209"/>
      <c r="AC407" s="208">
        <f>J407-O407</f>
        <v>-4150000</v>
      </c>
      <c r="AD407" s="209"/>
      <c r="AE407" s="209"/>
      <c r="AF407" s="209"/>
    </row>
    <row r="408" spans="1:32" s="20" customFormat="1" ht="27" customHeight="1">
      <c r="A408" s="364" t="str">
        <f>'[1]3.LRA'!C57</f>
        <v>Belanja Sewa Perlengkapan dan Peralatan Kantor</v>
      </c>
      <c r="B408" s="363"/>
      <c r="C408" s="363"/>
      <c r="D408" s="363"/>
      <c r="E408" s="336">
        <f>'[1]3.LRA'!D57</f>
        <v>9905000</v>
      </c>
      <c r="F408" s="336"/>
      <c r="G408" s="336"/>
      <c r="H408" s="336"/>
      <c r="I408" s="337"/>
      <c r="J408" s="336">
        <f>'[1]3.LRA'!E57</f>
        <v>9905000</v>
      </c>
      <c r="K408" s="336"/>
      <c r="L408" s="336"/>
      <c r="M408" s="336"/>
      <c r="N408" s="337"/>
      <c r="O408" s="335">
        <f>'[1]3.LRA'!I57</f>
        <v>16135000</v>
      </c>
      <c r="P408" s="336"/>
      <c r="Q408" s="336"/>
      <c r="R408" s="336"/>
      <c r="S408" s="337"/>
      <c r="T408" s="338">
        <f t="shared" si="12"/>
        <v>-38.611713665943604</v>
      </c>
      <c r="U408" s="339"/>
      <c r="V408" s="204">
        <f t="shared" si="11"/>
        <v>100</v>
      </c>
      <c r="W408" s="205"/>
      <c r="X408" s="205"/>
      <c r="Y408" s="362" t="s">
        <v>136</v>
      </c>
      <c r="Z408" s="363"/>
      <c r="AA408" s="363"/>
      <c r="AB408" s="363" t="s">
        <v>137</v>
      </c>
      <c r="AC408" s="362" t="s">
        <v>199</v>
      </c>
      <c r="AD408" s="363"/>
      <c r="AE408" s="363"/>
      <c r="AF408" s="363"/>
    </row>
    <row r="409" spans="1:32" s="20" customFormat="1" ht="39.75" customHeight="1">
      <c r="A409" s="364" t="str">
        <f>'[1]3.LRA'!C58</f>
        <v>Belanja Makanan dan Minuman</v>
      </c>
      <c r="B409" s="363"/>
      <c r="C409" s="363"/>
      <c r="D409" s="363"/>
      <c r="E409" s="336">
        <f>'[1]3.LRA'!D58</f>
        <v>196438500</v>
      </c>
      <c r="F409" s="336"/>
      <c r="G409" s="336"/>
      <c r="H409" s="336"/>
      <c r="I409" s="337"/>
      <c r="J409" s="335">
        <f>'[1]3.LRA'!E58</f>
        <v>123524000</v>
      </c>
      <c r="K409" s="336"/>
      <c r="L409" s="336"/>
      <c r="M409" s="336"/>
      <c r="N409" s="337"/>
      <c r="O409" s="335">
        <f>'[1]3.LRA'!I58</f>
        <v>264545000</v>
      </c>
      <c r="P409" s="336"/>
      <c r="Q409" s="336"/>
      <c r="R409" s="336"/>
      <c r="S409" s="337"/>
      <c r="T409" s="338">
        <f t="shared" si="12"/>
        <v>-53.306998809276308</v>
      </c>
      <c r="U409" s="339"/>
      <c r="V409" s="204">
        <f t="shared" si="11"/>
        <v>62.881767067046432</v>
      </c>
      <c r="W409" s="205"/>
      <c r="X409" s="205"/>
      <c r="Y409" s="208">
        <f>E409-J409</f>
        <v>72914500</v>
      </c>
      <c r="Z409" s="209"/>
      <c r="AA409" s="209"/>
      <c r="AB409" s="209"/>
      <c r="AC409" s="208">
        <f>J409-O409</f>
        <v>-141021000</v>
      </c>
      <c r="AD409" s="209"/>
      <c r="AE409" s="209"/>
      <c r="AF409" s="209"/>
    </row>
    <row r="410" spans="1:32" s="20" customFormat="1" ht="30.75" customHeight="1">
      <c r="A410" s="364" t="str">
        <f>'[1]3.LRA'!C59</f>
        <v>Belanja Pakaian Dinas dan Atributnya</v>
      </c>
      <c r="B410" s="363"/>
      <c r="C410" s="363"/>
      <c r="D410" s="363"/>
      <c r="E410" s="336">
        <f>'[1]3.LRA'!D59</f>
        <v>5250000</v>
      </c>
      <c r="F410" s="336"/>
      <c r="G410" s="336"/>
      <c r="H410" s="336"/>
      <c r="I410" s="337"/>
      <c r="J410" s="335">
        <f>'[1]3.LRA'!E59</f>
        <v>5250000</v>
      </c>
      <c r="K410" s="336"/>
      <c r="L410" s="336"/>
      <c r="M410" s="336"/>
      <c r="N410" s="337"/>
      <c r="O410" s="335">
        <f>'[1]3.LRA'!I59</f>
        <v>115407800</v>
      </c>
      <c r="P410" s="336"/>
      <c r="Q410" s="336"/>
      <c r="R410" s="336"/>
      <c r="S410" s="337"/>
      <c r="T410" s="338">
        <f t="shared" si="12"/>
        <v>-95.450914063000937</v>
      </c>
      <c r="U410" s="339"/>
      <c r="V410" s="204">
        <f t="shared" si="11"/>
        <v>100</v>
      </c>
      <c r="W410" s="205"/>
      <c r="X410" s="205"/>
      <c r="Y410" s="362" t="s">
        <v>136</v>
      </c>
      <c r="Z410" s="363"/>
      <c r="AA410" s="363"/>
      <c r="AB410" s="363" t="s">
        <v>137</v>
      </c>
      <c r="AC410" s="362" t="s">
        <v>200</v>
      </c>
      <c r="AD410" s="363"/>
      <c r="AE410" s="363"/>
      <c r="AF410" s="363"/>
    </row>
    <row r="411" spans="1:32" s="20" customFormat="1" ht="21" customHeight="1">
      <c r="A411" s="364" t="str">
        <f>'[1]3.LRA'!C60</f>
        <v>Belanja Perjalanan Dinas</v>
      </c>
      <c r="B411" s="363"/>
      <c r="C411" s="363"/>
      <c r="D411" s="363"/>
      <c r="E411" s="336">
        <f>'[1]3.LRA'!D60</f>
        <v>654749031</v>
      </c>
      <c r="F411" s="336"/>
      <c r="G411" s="336"/>
      <c r="H411" s="336"/>
      <c r="I411" s="337"/>
      <c r="J411" s="335">
        <f>'[1]3.LRA'!E60</f>
        <v>480246977</v>
      </c>
      <c r="K411" s="336"/>
      <c r="L411" s="336"/>
      <c r="M411" s="336"/>
      <c r="N411" s="337"/>
      <c r="O411" s="335">
        <f>'[1]3.LRA'!I60</f>
        <v>534439787</v>
      </c>
      <c r="P411" s="336"/>
      <c r="Q411" s="336"/>
      <c r="R411" s="336"/>
      <c r="S411" s="337"/>
      <c r="T411" s="338">
        <f t="shared" si="12"/>
        <v>-10.140115185698178</v>
      </c>
      <c r="U411" s="339"/>
      <c r="V411" s="204">
        <f t="shared" si="11"/>
        <v>73.34825318741099</v>
      </c>
      <c r="W411" s="205"/>
      <c r="X411" s="205"/>
      <c r="Y411" s="208">
        <f>E411-J411</f>
        <v>174502054</v>
      </c>
      <c r="Z411" s="209"/>
      <c r="AA411" s="209"/>
      <c r="AB411" s="209"/>
      <c r="AC411" s="208">
        <f>J411-O411</f>
        <v>-54192810</v>
      </c>
      <c r="AD411" s="209"/>
      <c r="AE411" s="209"/>
      <c r="AF411" s="209"/>
    </row>
    <row r="412" spans="1:32" s="20" customFormat="1" ht="17.25" customHeight="1">
      <c r="A412" s="364" t="str">
        <f>'[1]3.LRA'!C61</f>
        <v>Belanja Pemeliharaan</v>
      </c>
      <c r="B412" s="363"/>
      <c r="C412" s="363"/>
      <c r="D412" s="363"/>
      <c r="E412" s="336">
        <f>'[1]3.LRA'!D61</f>
        <v>0</v>
      </c>
      <c r="F412" s="336"/>
      <c r="G412" s="336"/>
      <c r="H412" s="336"/>
      <c r="I412" s="337"/>
      <c r="J412" s="336">
        <f>'[1]3.LRA'!E61</f>
        <v>0</v>
      </c>
      <c r="K412" s="336"/>
      <c r="L412" s="336"/>
      <c r="M412" s="336"/>
      <c r="N412" s="337"/>
      <c r="O412" s="335">
        <f>'[1]3.LRA'!I61</f>
        <v>99076000</v>
      </c>
      <c r="P412" s="336"/>
      <c r="Q412" s="336"/>
      <c r="R412" s="336"/>
      <c r="S412" s="337"/>
      <c r="T412" s="338">
        <f t="shared" si="12"/>
        <v>-100</v>
      </c>
      <c r="U412" s="339"/>
      <c r="V412" s="204" t="e">
        <f t="shared" si="11"/>
        <v>#DIV/0!</v>
      </c>
      <c r="W412" s="205"/>
      <c r="X412" s="205"/>
      <c r="Y412" s="362" t="s">
        <v>136</v>
      </c>
      <c r="Z412" s="363"/>
      <c r="AA412" s="363"/>
      <c r="AB412" s="363" t="s">
        <v>137</v>
      </c>
      <c r="AC412" s="362" t="s">
        <v>201</v>
      </c>
      <c r="AD412" s="363"/>
      <c r="AE412" s="363"/>
      <c r="AF412" s="363"/>
    </row>
    <row r="413" spans="1:32" s="20" customFormat="1" ht="18.75" customHeight="1">
      <c r="A413" s="364" t="str">
        <f>'[1]3.LRA'!C63</f>
        <v>Belanaja Sewa Alat Berat</v>
      </c>
      <c r="B413" s="363"/>
      <c r="C413" s="363"/>
      <c r="D413" s="363"/>
      <c r="E413" s="336">
        <f>'[1]3.LRA'!D63</f>
        <v>178477000</v>
      </c>
      <c r="F413" s="336"/>
      <c r="G413" s="336"/>
      <c r="H413" s="336"/>
      <c r="I413" s="337"/>
      <c r="J413" s="336">
        <f>'[1]3.LRA'!E63</f>
        <v>164935500</v>
      </c>
      <c r="K413" s="336"/>
      <c r="L413" s="336"/>
      <c r="M413" s="336"/>
      <c r="N413" s="337"/>
      <c r="O413" s="335">
        <f>'[1]3.LRA'!I63</f>
        <v>371241000</v>
      </c>
      <c r="P413" s="336"/>
      <c r="Q413" s="336"/>
      <c r="R413" s="336"/>
      <c r="S413" s="337"/>
      <c r="T413" s="338">
        <f t="shared" si="12"/>
        <v>-55.571852246923157</v>
      </c>
      <c r="U413" s="339"/>
      <c r="V413" s="204">
        <f t="shared" si="11"/>
        <v>92.412747861068937</v>
      </c>
      <c r="W413" s="205"/>
      <c r="X413" s="205"/>
      <c r="Y413" s="362" t="s">
        <v>136</v>
      </c>
      <c r="Z413" s="363"/>
      <c r="AA413" s="363"/>
      <c r="AB413" s="363" t="s">
        <v>137</v>
      </c>
      <c r="AC413" s="362" t="s">
        <v>202</v>
      </c>
      <c r="AD413" s="363"/>
      <c r="AE413" s="363"/>
      <c r="AF413" s="363"/>
    </row>
    <row r="414" spans="1:32" s="20" customFormat="1" ht="30.75" customHeight="1">
      <c r="A414" s="364" t="str">
        <f>'[1]3.LRA'!C64</f>
        <v>Belanja Jasa Konsultansi Perencanaan/pengawasan</v>
      </c>
      <c r="B414" s="363"/>
      <c r="C414" s="363"/>
      <c r="D414" s="363"/>
      <c r="E414" s="336">
        <f>'[1]3.LRA'!D64</f>
        <v>1881200000</v>
      </c>
      <c r="F414" s="336"/>
      <c r="G414" s="336"/>
      <c r="H414" s="336"/>
      <c r="I414" s="337"/>
      <c r="J414" s="336">
        <f>'[1]3.LRA'!E64</f>
        <v>1620693000</v>
      </c>
      <c r="K414" s="336"/>
      <c r="L414" s="336"/>
      <c r="M414" s="336"/>
      <c r="N414" s="337"/>
      <c r="O414" s="335">
        <f>'[1]3.LRA'!I64</f>
        <v>2021241000</v>
      </c>
      <c r="P414" s="336"/>
      <c r="Q414" s="336"/>
      <c r="R414" s="336"/>
      <c r="S414" s="337"/>
      <c r="T414" s="338">
        <f t="shared" si="12"/>
        <v>-19.816934249799999</v>
      </c>
      <c r="U414" s="339"/>
      <c r="V414" s="204">
        <f t="shared" si="11"/>
        <v>86.152083776312992</v>
      </c>
      <c r="W414" s="205"/>
      <c r="X414" s="205"/>
      <c r="Y414" s="208">
        <f>E414-J414</f>
        <v>260507000</v>
      </c>
      <c r="Z414" s="209"/>
      <c r="AA414" s="209"/>
      <c r="AB414" s="209"/>
      <c r="AC414" s="208">
        <f>J414-O414</f>
        <v>-400548000</v>
      </c>
      <c r="AD414" s="209"/>
      <c r="AE414" s="209"/>
      <c r="AF414" s="209"/>
    </row>
    <row r="415" spans="1:32" s="20" customFormat="1" ht="28.35" customHeight="1">
      <c r="A415" s="364" t="str">
        <f>'[1]3.LRA'!C65</f>
        <v>Belanja Honorarium Non Pegawai</v>
      </c>
      <c r="B415" s="363"/>
      <c r="C415" s="363"/>
      <c r="D415" s="363"/>
      <c r="E415" s="336">
        <f>'[1]3.LRA'!D65</f>
        <v>0</v>
      </c>
      <c r="F415" s="336"/>
      <c r="G415" s="336"/>
      <c r="H415" s="336"/>
      <c r="I415" s="337"/>
      <c r="J415" s="336">
        <f>'[1]3.LRA'!E65</f>
        <v>0</v>
      </c>
      <c r="K415" s="336"/>
      <c r="L415" s="336"/>
      <c r="M415" s="336"/>
      <c r="N415" s="337"/>
      <c r="O415" s="335">
        <f>'[1]3.LRA'!I65</f>
        <v>0</v>
      </c>
      <c r="P415" s="336"/>
      <c r="Q415" s="336"/>
      <c r="R415" s="336"/>
      <c r="S415" s="337"/>
      <c r="T415" s="338"/>
      <c r="U415" s="339"/>
      <c r="V415" s="204" t="e">
        <f t="shared" si="11"/>
        <v>#DIV/0!</v>
      </c>
      <c r="W415" s="205"/>
      <c r="X415" s="205"/>
      <c r="Y415" s="362" t="s">
        <v>136</v>
      </c>
      <c r="Z415" s="363"/>
      <c r="AA415" s="363"/>
      <c r="AB415" s="363" t="s">
        <v>137</v>
      </c>
      <c r="AC415" s="362" t="s">
        <v>203</v>
      </c>
      <c r="AD415" s="363"/>
      <c r="AE415" s="363"/>
      <c r="AF415" s="363"/>
    </row>
    <row r="416" spans="1:32" s="20" customFormat="1" ht="28.35" customHeight="1">
      <c r="A416" s="364" t="str">
        <f>'[1]3.LRA'!C66</f>
        <v>Honorarium PNS</v>
      </c>
      <c r="B416" s="363"/>
      <c r="C416" s="363"/>
      <c r="D416" s="363"/>
      <c r="E416" s="336">
        <f>'[1]3.LRA'!D66</f>
        <v>441290000</v>
      </c>
      <c r="F416" s="336"/>
      <c r="G416" s="336"/>
      <c r="H416" s="336"/>
      <c r="I416" s="337"/>
      <c r="J416" s="336">
        <f>'[1]3.LRA'!E66</f>
        <v>370640000</v>
      </c>
      <c r="K416" s="336"/>
      <c r="L416" s="336"/>
      <c r="M416" s="336"/>
      <c r="N416" s="337"/>
      <c r="O416" s="335">
        <f>'[1]3.LRA'!I66</f>
        <v>545963000</v>
      </c>
      <c r="P416" s="336"/>
      <c r="Q416" s="336"/>
      <c r="R416" s="336"/>
      <c r="S416" s="337"/>
      <c r="T416" s="338">
        <f t="shared" si="12"/>
        <v>-32.112615690074236</v>
      </c>
      <c r="U416" s="339"/>
      <c r="V416" s="204">
        <f t="shared" si="11"/>
        <v>83.990119875818621</v>
      </c>
      <c r="W416" s="205"/>
      <c r="X416" s="205"/>
      <c r="Y416" s="208">
        <f>E416-J416</f>
        <v>70650000</v>
      </c>
      <c r="Z416" s="209"/>
      <c r="AA416" s="209"/>
      <c r="AB416" s="209"/>
      <c r="AC416" s="208">
        <f>J416-O416</f>
        <v>-175323000</v>
      </c>
      <c r="AD416" s="209"/>
      <c r="AE416" s="209"/>
      <c r="AF416" s="209"/>
    </row>
    <row r="417" spans="1:32" s="20" customFormat="1" ht="28.35" customHeight="1">
      <c r="A417" s="364" t="str">
        <f>'[1]3.LRA'!C67</f>
        <v>Honorarium Non PNS</v>
      </c>
      <c r="B417" s="363"/>
      <c r="C417" s="363"/>
      <c r="D417" s="363"/>
      <c r="E417" s="336">
        <f>'[1]3.LRA'!D67</f>
        <v>24130000</v>
      </c>
      <c r="F417" s="336"/>
      <c r="G417" s="336"/>
      <c r="H417" s="336"/>
      <c r="I417" s="337"/>
      <c r="J417" s="336">
        <f>'[1]3.LRA'!E67</f>
        <v>20350000</v>
      </c>
      <c r="K417" s="336"/>
      <c r="L417" s="336"/>
      <c r="M417" s="336"/>
      <c r="N417" s="337"/>
      <c r="O417" s="335">
        <f>'[1]3.LRA'!I67</f>
        <v>208610000</v>
      </c>
      <c r="P417" s="336"/>
      <c r="Q417" s="336"/>
      <c r="R417" s="336"/>
      <c r="S417" s="337"/>
      <c r="T417" s="338">
        <f t="shared" si="12"/>
        <v>-90.244954700158189</v>
      </c>
      <c r="U417" s="339"/>
      <c r="V417" s="204">
        <f t="shared" si="11"/>
        <v>84.334852880232077</v>
      </c>
      <c r="W417" s="205"/>
      <c r="X417" s="205"/>
      <c r="Y417" s="362" t="s">
        <v>136</v>
      </c>
      <c r="Z417" s="363"/>
      <c r="AA417" s="363"/>
      <c r="AB417" s="363" t="s">
        <v>137</v>
      </c>
      <c r="AC417" s="362" t="s">
        <v>204</v>
      </c>
      <c r="AD417" s="363"/>
      <c r="AE417" s="363"/>
      <c r="AF417" s="363"/>
    </row>
    <row r="418" spans="1:32" s="20" customFormat="1" ht="44.25" customHeight="1">
      <c r="A418" s="364" t="str">
        <f>'[1]3.LRA'!C68</f>
        <v>Belanja Stimulan, uang saku,hadiah penghargaan, penggantian biaya</v>
      </c>
      <c r="B418" s="363"/>
      <c r="C418" s="363"/>
      <c r="D418" s="363"/>
      <c r="E418" s="336">
        <f>'[1]3.LRA'!D68</f>
        <v>0</v>
      </c>
      <c r="F418" s="336"/>
      <c r="G418" s="336"/>
      <c r="H418" s="336"/>
      <c r="I418" s="337"/>
      <c r="J418" s="336">
        <f>'[1]3.LRA'!E68</f>
        <v>0</v>
      </c>
      <c r="K418" s="336"/>
      <c r="L418" s="336"/>
      <c r="M418" s="336"/>
      <c r="N418" s="337"/>
      <c r="O418" s="335">
        <f>'[1]3.LRA'!I68</f>
        <v>0</v>
      </c>
      <c r="P418" s="336"/>
      <c r="Q418" s="336"/>
      <c r="R418" s="336"/>
      <c r="S418" s="337"/>
      <c r="T418" s="338"/>
      <c r="U418" s="339"/>
      <c r="V418" s="204" t="e">
        <f t="shared" si="11"/>
        <v>#DIV/0!</v>
      </c>
      <c r="W418" s="205"/>
      <c r="X418" s="205"/>
      <c r="Y418" s="208">
        <f>E418-J418</f>
        <v>0</v>
      </c>
      <c r="Z418" s="209"/>
      <c r="AA418" s="209"/>
      <c r="AB418" s="209"/>
      <c r="AC418" s="208">
        <f>J418-O418</f>
        <v>0</v>
      </c>
      <c r="AD418" s="209"/>
      <c r="AE418" s="209"/>
      <c r="AF418" s="209"/>
    </row>
    <row r="419" spans="1:32" s="20" customFormat="1" ht="27" customHeight="1">
      <c r="A419" s="364" t="str">
        <f>'[1]3.LRA'!C69</f>
        <v>Belanja Barang dan Jasa BLUD</v>
      </c>
      <c r="B419" s="363"/>
      <c r="C419" s="363"/>
      <c r="D419" s="363"/>
      <c r="E419" s="336">
        <f>'[1]3.LRA'!D69</f>
        <v>0</v>
      </c>
      <c r="F419" s="336"/>
      <c r="G419" s="336"/>
      <c r="H419" s="336"/>
      <c r="I419" s="337"/>
      <c r="J419" s="336">
        <f>'[1]3.LRA'!E69</f>
        <v>0</v>
      </c>
      <c r="K419" s="336"/>
      <c r="L419" s="336"/>
      <c r="M419" s="336"/>
      <c r="N419" s="337"/>
      <c r="O419" s="335">
        <f>'[1]3.LRA'!I69</f>
        <v>0</v>
      </c>
      <c r="P419" s="336"/>
      <c r="Q419" s="336"/>
      <c r="R419" s="336"/>
      <c r="S419" s="337"/>
      <c r="T419" s="338"/>
      <c r="U419" s="339"/>
      <c r="V419" s="204" t="e">
        <f t="shared" si="11"/>
        <v>#DIV/0!</v>
      </c>
      <c r="W419" s="205"/>
      <c r="X419" s="205"/>
      <c r="Y419" s="208">
        <f>E419-J419</f>
        <v>0</v>
      </c>
      <c r="Z419" s="209"/>
      <c r="AA419" s="209"/>
      <c r="AB419" s="209"/>
      <c r="AC419" s="208">
        <f>J419-O419</f>
        <v>0</v>
      </c>
      <c r="AD419" s="209"/>
      <c r="AE419" s="209"/>
      <c r="AF419" s="209"/>
    </row>
    <row r="420" spans="1:32" s="20" customFormat="1" ht="18.75" customHeight="1">
      <c r="A420" s="252" t="s">
        <v>178</v>
      </c>
      <c r="B420" s="404"/>
      <c r="C420" s="404"/>
      <c r="D420" s="405"/>
      <c r="E420" s="392">
        <f>SUM(E401:I419)</f>
        <v>16775356155</v>
      </c>
      <c r="F420" s="393"/>
      <c r="G420" s="393"/>
      <c r="H420" s="393"/>
      <c r="I420" s="394"/>
      <c r="J420" s="392">
        <f>SUM(J401:N419)</f>
        <v>15596438173</v>
      </c>
      <c r="K420" s="393"/>
      <c r="L420" s="393"/>
      <c r="M420" s="393"/>
      <c r="N420" s="394"/>
      <c r="O420" s="392">
        <f>SUM(O401:S419)</f>
        <v>19478949647</v>
      </c>
      <c r="P420" s="393"/>
      <c r="Q420" s="393"/>
      <c r="R420" s="393"/>
      <c r="S420" s="394"/>
      <c r="T420" s="398">
        <f t="shared" si="12"/>
        <v>-19.931831768957597</v>
      </c>
      <c r="U420" s="399"/>
      <c r="V420" s="204">
        <f>J420/E420*100</f>
        <v>92.972322190318351</v>
      </c>
      <c r="W420" s="205"/>
      <c r="X420" s="205"/>
      <c r="Y420" s="208">
        <f>E420-J420</f>
        <v>1178917982</v>
      </c>
      <c r="Z420" s="209"/>
      <c r="AA420" s="209"/>
      <c r="AB420" s="209"/>
      <c r="AC420" s="208">
        <f>J420-O420</f>
        <v>-3882511474</v>
      </c>
      <c r="AD420" s="209"/>
      <c r="AE420" s="209"/>
      <c r="AF420" s="209"/>
    </row>
    <row r="421" spans="1:32" s="20" customFormat="1" ht="17.25" customHeight="1">
      <c r="A421" s="18"/>
      <c r="B421" s="27"/>
      <c r="C421" s="27"/>
      <c r="D421" s="163"/>
      <c r="E421" s="164"/>
      <c r="F421" s="164"/>
      <c r="G421" s="164"/>
      <c r="H421" s="164"/>
      <c r="I421" s="164"/>
      <c r="J421" s="164"/>
      <c r="K421" s="164"/>
      <c r="L421" s="164"/>
      <c r="M421" s="164"/>
      <c r="N421" s="164"/>
      <c r="O421" s="164"/>
      <c r="P421" s="164"/>
      <c r="Q421" s="164"/>
      <c r="R421" s="164"/>
      <c r="S421" s="164"/>
      <c r="T421" s="46"/>
      <c r="U421" s="46"/>
    </row>
    <row r="422" spans="1:32" s="20" customFormat="1" ht="66" customHeight="1">
      <c r="A422" s="18"/>
      <c r="B422" s="27"/>
      <c r="C422" s="27"/>
      <c r="D422" s="313" t="str">
        <f>"Belanja barang   TA. "&amp;'[1]2.ISIAN DATA SKPD'!D11&amp;" dapat direalisasikan sebesar Rp. "&amp;FIXED(J420)&amp;" atau mencapai "&amp;FIXED(T420)&amp;"% dari TA "&amp;'[1]2.ISIAN DATA SKPD'!D12&amp;" sebesar Rp. "&amp;FIXED(O420)&amp;" atau kurang dari anggaran sebesar  "&amp;FIXED(V420)&amp;"%"</f>
        <v>Belanja barang   TA. 2017 dapat direalisasikan sebesar Rp. 15,596,438,173.00 atau mencapai -19.93% dari TA 2016 sebesar Rp. 19,478,949,647.00 atau kurang dari anggaran sebesar  92.97%</v>
      </c>
      <c r="E422" s="313"/>
      <c r="F422" s="313"/>
      <c r="G422" s="313"/>
      <c r="H422" s="313"/>
      <c r="I422" s="313"/>
      <c r="J422" s="313"/>
      <c r="K422" s="313"/>
      <c r="L422" s="313"/>
      <c r="M422" s="313"/>
      <c r="N422" s="313"/>
      <c r="O422" s="313"/>
      <c r="P422" s="313"/>
      <c r="Q422" s="313"/>
      <c r="R422" s="313"/>
      <c r="S422" s="313"/>
      <c r="T422" s="313"/>
      <c r="U422" s="313"/>
      <c r="V422" s="27"/>
    </row>
    <row r="423" spans="1:32" s="20" customFormat="1">
      <c r="A423" s="25"/>
      <c r="C423" s="38" t="s">
        <v>113</v>
      </c>
      <c r="D423" s="359" t="s">
        <v>189</v>
      </c>
      <c r="E423" s="359"/>
      <c r="F423" s="359"/>
      <c r="G423" s="359"/>
      <c r="H423" s="359"/>
      <c r="I423" s="359"/>
      <c r="J423" s="359"/>
      <c r="K423" s="359"/>
      <c r="L423" s="37"/>
      <c r="M423" s="37"/>
      <c r="N423" s="37"/>
      <c r="O423" s="37"/>
      <c r="P423" s="37"/>
      <c r="Q423" s="37"/>
      <c r="R423" s="37"/>
      <c r="S423" s="37"/>
      <c r="T423" s="24"/>
      <c r="U423" s="24"/>
      <c r="V423" s="27"/>
    </row>
    <row r="424" spans="1:32" s="20" customFormat="1" ht="66" customHeight="1">
      <c r="A424" s="25"/>
      <c r="D424" s="157" t="str">
        <f>"Belanja hibah  TA. "&amp;'[1]2.ISIAN DATA SKPD'!D11&amp;" dapat direalisasikan sebesar Rp. "&amp;FIXED(J428)&amp;" atau mencapai "&amp;FIXED(V428)&amp;"% dari anggaran yang telah ditetapkan sebesar Rp. "&amp;FIXED(E428)&amp;" atau kurang dari anggaran sebesar Rp. "&amp;FIXED(Y428)&amp;""</f>
        <v>Belanja hibah  TA. 2017 dapat direalisasikan sebesar Rp. 3,802,717,200.00 atau mencapai 94.71% dari anggaran yang telah ditetapkan sebesar Rp. 4,014,956,000.00 atau kurang dari anggaran sebesar Rp. 212,238,800.00</v>
      </c>
      <c r="E424" s="157"/>
      <c r="F424" s="157"/>
      <c r="G424" s="157"/>
      <c r="H424" s="157"/>
      <c r="I424" s="157"/>
      <c r="J424" s="157"/>
      <c r="K424" s="157"/>
      <c r="L424" s="157"/>
      <c r="M424" s="157"/>
      <c r="N424" s="157"/>
      <c r="O424" s="157"/>
      <c r="P424" s="157"/>
      <c r="Q424" s="157"/>
      <c r="R424" s="157"/>
      <c r="S424" s="157"/>
      <c r="T424" s="157"/>
      <c r="U424" s="157"/>
      <c r="V424" s="27"/>
    </row>
    <row r="425" spans="1:32" s="20" customFormat="1" ht="66" customHeight="1">
      <c r="A425" s="18"/>
      <c r="D425" s="157" t="str">
        <f>"Bila dibandingkan dengan TA "&amp;'[1]2.ISIAN DATA SKPD'!D12&amp;", Realisasi belanja hibah TA "&amp;'[1]2.ISIAN DATA SKPD'!D11&amp;" mengalami penurunan sebesar Rp. "&amp;FIXED('[1]3.LRA'!L77)&amp;"  atau "&amp;FIXED('[1]3.LRA'!K62)&amp;"%. Realisai belanja hibah  dapat dilihat pada tabel dibawah ini."</f>
        <v>Bila dibandingkan dengan TA 2016, Realisasi belanja hibah TA 2017 mengalami penurunan sebesar Rp. -167,435,000.00  atau 238.10%. Realisai belanja hibah  dapat dilihat pada tabel dibawah ini.</v>
      </c>
      <c r="E425" s="157"/>
      <c r="F425" s="157"/>
      <c r="G425" s="157"/>
      <c r="H425" s="157"/>
      <c r="I425" s="157"/>
      <c r="J425" s="157"/>
      <c r="K425" s="157"/>
      <c r="L425" s="157"/>
      <c r="M425" s="157"/>
      <c r="N425" s="157"/>
      <c r="O425" s="157"/>
      <c r="P425" s="157"/>
      <c r="Q425" s="157"/>
      <c r="R425" s="157"/>
      <c r="S425" s="157"/>
      <c r="T425" s="157"/>
      <c r="U425" s="157"/>
      <c r="V425" s="27"/>
    </row>
    <row r="426" spans="1:32" s="20" customFormat="1">
      <c r="A426" s="18"/>
      <c r="B426" s="386" t="str">
        <f>"Perbandingan Belanja Hibah  TA "&amp;'[1]2.ISIAN DATA SKPD'!D11&amp;" dan "&amp;'[1]2.ISIAN DATA SKPD'!D12&amp;""</f>
        <v>Perbandingan Belanja Hibah  TA 2017 dan 2016</v>
      </c>
      <c r="C426" s="386"/>
      <c r="D426" s="386"/>
      <c r="E426" s="386"/>
      <c r="F426" s="386"/>
      <c r="G426" s="386"/>
      <c r="H426" s="386"/>
      <c r="I426" s="386"/>
      <c r="J426" s="386"/>
      <c r="K426" s="386"/>
      <c r="L426" s="386"/>
      <c r="M426" s="386"/>
      <c r="N426" s="386"/>
      <c r="O426" s="386"/>
      <c r="P426" s="386"/>
      <c r="Q426" s="386"/>
      <c r="R426" s="386"/>
      <c r="S426" s="386"/>
      <c r="T426" s="386"/>
      <c r="U426" s="386"/>
      <c r="V426" s="27"/>
    </row>
    <row r="427" spans="1:32" s="20" customFormat="1" ht="66" customHeight="1">
      <c r="A427" s="174" t="s">
        <v>189</v>
      </c>
      <c r="B427" s="175"/>
      <c r="C427" s="175"/>
      <c r="D427" s="175"/>
      <c r="E427" s="387" t="s">
        <v>130</v>
      </c>
      <c r="F427" s="387"/>
      <c r="G427" s="387"/>
      <c r="H427" s="387"/>
      <c r="I427" s="387"/>
      <c r="J427" s="174" t="str">
        <f>J400</f>
        <v>Realisasi                      TA 2017</v>
      </c>
      <c r="K427" s="175"/>
      <c r="L427" s="175"/>
      <c r="M427" s="175"/>
      <c r="N427" s="176"/>
      <c r="O427" s="174" t="str">
        <f>O400</f>
        <v>Realisasi                   TA 2016</v>
      </c>
      <c r="P427" s="175"/>
      <c r="Q427" s="175"/>
      <c r="R427" s="175"/>
      <c r="S427" s="176"/>
      <c r="T427" s="324" t="s">
        <v>185</v>
      </c>
      <c r="U427" s="361"/>
      <c r="V427" s="204" t="s">
        <v>137</v>
      </c>
      <c r="W427" s="205"/>
      <c r="X427" s="205"/>
      <c r="Y427" s="362" t="s">
        <v>136</v>
      </c>
      <c r="Z427" s="363"/>
      <c r="AA427" s="363"/>
      <c r="AB427" s="363" t="s">
        <v>137</v>
      </c>
      <c r="AC427" s="362" t="s">
        <v>138</v>
      </c>
      <c r="AD427" s="363"/>
      <c r="AE427" s="363"/>
      <c r="AF427" s="363"/>
    </row>
    <row r="428" spans="1:32" s="20" customFormat="1" ht="66" customHeight="1">
      <c r="A428" s="364" t="str">
        <f>'[1]3.LRA'!C62</f>
        <v>Belanja Barang yang Diserahkan kepada Masyarakat</v>
      </c>
      <c r="B428" s="364"/>
      <c r="C428" s="364"/>
      <c r="D428" s="364"/>
      <c r="E428" s="336">
        <f>'[1]3.LRA'!D62</f>
        <v>4014956000</v>
      </c>
      <c r="F428" s="336"/>
      <c r="G428" s="336"/>
      <c r="H428" s="336"/>
      <c r="I428" s="337"/>
      <c r="J428" s="336">
        <f>'[1]3.LRA'!E62</f>
        <v>3802717200</v>
      </c>
      <c r="K428" s="336"/>
      <c r="L428" s="336"/>
      <c r="M428" s="336"/>
      <c r="N428" s="337"/>
      <c r="O428" s="335">
        <f>'[1]3.LRA'!I62</f>
        <v>1124732450</v>
      </c>
      <c r="P428" s="336"/>
      <c r="Q428" s="336"/>
      <c r="R428" s="336"/>
      <c r="S428" s="337"/>
      <c r="T428" s="338">
        <f>(J428-O428)/O428*100</f>
        <v>238.09971429205231</v>
      </c>
      <c r="U428" s="339"/>
      <c r="V428" s="204">
        <f>J428/E428*100</f>
        <v>94.713795120046157</v>
      </c>
      <c r="W428" s="205"/>
      <c r="X428" s="205"/>
      <c r="Y428" s="208">
        <f>E428-J428</f>
        <v>212238800</v>
      </c>
      <c r="Z428" s="209"/>
      <c r="AA428" s="209"/>
      <c r="AB428" s="209"/>
      <c r="AC428" s="208">
        <f>J428-O428</f>
        <v>2677984750</v>
      </c>
      <c r="AD428" s="209"/>
      <c r="AE428" s="209"/>
      <c r="AF428" s="209"/>
    </row>
    <row r="429" spans="1:32" s="20" customFormat="1">
      <c r="A429" s="18"/>
      <c r="B429" s="27"/>
      <c r="C429" s="163" t="s">
        <v>114</v>
      </c>
      <c r="D429" s="359" t="s">
        <v>190</v>
      </c>
      <c r="E429" s="285"/>
      <c r="F429" s="285"/>
      <c r="G429" s="285"/>
      <c r="H429" s="285"/>
      <c r="I429" s="285"/>
      <c r="J429" s="285"/>
      <c r="K429" s="285"/>
      <c r="L429" s="285"/>
      <c r="M429" s="285"/>
      <c r="N429" s="285"/>
      <c r="O429" s="285"/>
      <c r="P429" s="285"/>
      <c r="Q429" s="285"/>
      <c r="R429" s="285"/>
      <c r="S429" s="285"/>
      <c r="T429" s="285"/>
      <c r="U429" s="285"/>
      <c r="V429" s="27"/>
    </row>
    <row r="430" spans="1:32" s="20" customFormat="1" ht="4.5" customHeight="1">
      <c r="A430" s="18"/>
      <c r="B430" s="27"/>
      <c r="C430" s="27"/>
      <c r="D430" s="163"/>
      <c r="E430" s="164"/>
      <c r="F430" s="164"/>
      <c r="G430" s="164"/>
      <c r="H430" s="164"/>
      <c r="I430" s="164"/>
      <c r="J430" s="164"/>
      <c r="K430" s="164"/>
      <c r="L430" s="164"/>
      <c r="M430" s="164"/>
      <c r="N430" s="164"/>
      <c r="O430" s="164"/>
      <c r="P430" s="164"/>
      <c r="Q430" s="164"/>
      <c r="R430" s="164"/>
      <c r="S430" s="164"/>
      <c r="T430" s="46"/>
      <c r="U430" s="46"/>
      <c r="V430" s="27"/>
    </row>
    <row r="431" spans="1:32" s="20" customFormat="1" ht="24.75" customHeight="1">
      <c r="A431" s="30"/>
      <c r="C431" s="38" t="s">
        <v>113</v>
      </c>
      <c r="D431" s="359" t="s">
        <v>205</v>
      </c>
      <c r="E431" s="406"/>
      <c r="F431" s="359"/>
      <c r="G431" s="359"/>
      <c r="H431" s="27"/>
      <c r="I431" s="27"/>
      <c r="J431" s="27"/>
      <c r="K431" s="27"/>
      <c r="L431" s="37"/>
      <c r="M431" s="37"/>
      <c r="N431" s="37"/>
      <c r="O431" s="37"/>
      <c r="P431" s="37"/>
      <c r="Q431" s="37"/>
      <c r="R431" s="37"/>
      <c r="S431" s="37"/>
      <c r="T431" s="24"/>
      <c r="U431" s="24"/>
      <c r="V431" s="27"/>
    </row>
    <row r="432" spans="1:32" s="20" customFormat="1" ht="51.75" customHeight="1">
      <c r="A432" s="30"/>
      <c r="C432" s="38"/>
      <c r="D432" s="313" t="s">
        <v>206</v>
      </c>
      <c r="E432" s="313"/>
      <c r="F432" s="313"/>
      <c r="G432" s="313"/>
      <c r="H432" s="313"/>
      <c r="I432" s="313"/>
      <c r="J432" s="313"/>
      <c r="K432" s="313"/>
      <c r="L432" s="313"/>
      <c r="M432" s="313"/>
      <c r="N432" s="313"/>
      <c r="O432" s="313"/>
      <c r="P432" s="313"/>
      <c r="Q432" s="313"/>
      <c r="R432" s="313"/>
      <c r="S432" s="313"/>
      <c r="T432" s="313"/>
      <c r="U432" s="313"/>
      <c r="V432" s="27"/>
    </row>
    <row r="433" spans="1:39" s="20" customFormat="1" ht="75.75" customHeight="1">
      <c r="A433" s="30"/>
      <c r="D433" s="313" t="str">
        <f>"Belanja Modal TA "&amp;'[1]2.ISIAN DATA SKPD'!D11&amp;"  dapat terealisasi sebesar Rp."&amp;FIXED(J444)&amp;" atau mencapai "&amp;FIXED(V444)&amp;"% dari anggaran yang telah ditetapkan sebesar Rp. "&amp;FIXED(E444)&amp;" atau kurang dari anggaran sebesar Rp. "&amp;FIXED(Y444)&amp;"."&amp;V426&amp;""</f>
        <v>Belanja Modal TA 2017  dapat terealisasi sebesar Rp.108,399,309,790.00 atau mencapai 90.32% dari anggaran yang telah ditetapkan sebesar Rp. 120,018,163,510.00 atau kurang dari anggaran sebesar Rp. 11,618,853,720.00.</v>
      </c>
      <c r="E433" s="313"/>
      <c r="F433" s="313"/>
      <c r="G433" s="313"/>
      <c r="H433" s="313"/>
      <c r="I433" s="313"/>
      <c r="J433" s="313"/>
      <c r="K433" s="313"/>
      <c r="L433" s="313"/>
      <c r="M433" s="313"/>
      <c r="N433" s="313"/>
      <c r="O433" s="313"/>
      <c r="P433" s="313"/>
      <c r="Q433" s="313"/>
      <c r="R433" s="313"/>
      <c r="S433" s="313"/>
      <c r="T433" s="313"/>
      <c r="U433" s="313"/>
      <c r="V433" s="27"/>
    </row>
    <row r="434" spans="1:39" s="20" customFormat="1" ht="39" customHeight="1">
      <c r="A434" s="18"/>
      <c r="D434" s="313" t="str">
        <f>"Adapun perbandingan Belanja Modal pada TA "&amp;'[1]2.ISIAN DATA SKPD'!D11&amp;" TA "&amp;'[1]2.ISIAN DATA SKPD'!D12&amp;" sebagaimana tabel berikut."</f>
        <v>Adapun perbandingan Belanja Modal pada TA 2017 TA 2016 sebagaimana tabel berikut.</v>
      </c>
      <c r="E434" s="313"/>
      <c r="F434" s="313"/>
      <c r="G434" s="313"/>
      <c r="H434" s="313"/>
      <c r="I434" s="313"/>
      <c r="J434" s="313"/>
      <c r="K434" s="313"/>
      <c r="L434" s="313"/>
      <c r="M434" s="313"/>
      <c r="N434" s="313"/>
      <c r="O434" s="313"/>
      <c r="P434" s="313"/>
      <c r="Q434" s="313"/>
      <c r="R434" s="313"/>
      <c r="S434" s="313"/>
      <c r="T434" s="313"/>
      <c r="U434" s="313"/>
      <c r="V434" s="27"/>
    </row>
    <row r="435" spans="1:39" s="20" customFormat="1" ht="9" customHeight="1">
      <c r="A435" s="18"/>
      <c r="D435" s="285"/>
      <c r="E435" s="285"/>
      <c r="F435" s="285"/>
      <c r="G435" s="285"/>
      <c r="H435" s="285"/>
      <c r="I435" s="285"/>
      <c r="J435" s="285"/>
      <c r="K435" s="285"/>
      <c r="L435" s="285"/>
      <c r="M435" s="285"/>
      <c r="N435" s="285"/>
      <c r="O435" s="285"/>
      <c r="P435" s="285"/>
      <c r="Q435" s="285"/>
      <c r="R435" s="285"/>
      <c r="S435" s="285"/>
      <c r="T435" s="285"/>
      <c r="U435" s="285"/>
      <c r="V435" s="27"/>
    </row>
    <row r="436" spans="1:39" s="20" customFormat="1" ht="27.75" customHeight="1">
      <c r="A436" s="18"/>
      <c r="B436" s="407" t="str">
        <f>"Perbandingan Realisasi Belanja Modal TA "&amp;'[1]2.ISIAN DATA SKPD'!D11&amp;" dan "&amp;'[1]2.ISIAN DATA SKPD'!D12&amp;""</f>
        <v>Perbandingan Realisasi Belanja Modal TA 2017 dan 2016</v>
      </c>
      <c r="C436" s="407"/>
      <c r="D436" s="407"/>
      <c r="E436" s="407"/>
      <c r="F436" s="407"/>
      <c r="G436" s="407"/>
      <c r="H436" s="407"/>
      <c r="I436" s="407"/>
      <c r="J436" s="407"/>
      <c r="K436" s="407"/>
      <c r="L436" s="407"/>
      <c r="M436" s="407"/>
      <c r="N436" s="407"/>
      <c r="O436" s="407"/>
      <c r="P436" s="407"/>
      <c r="Q436" s="407"/>
      <c r="R436" s="407"/>
      <c r="S436" s="407"/>
      <c r="T436" s="407"/>
      <c r="U436" s="407"/>
      <c r="V436" s="27"/>
      <c r="AJ436" s="385"/>
      <c r="AK436" s="385"/>
      <c r="AL436" s="385"/>
      <c r="AM436" s="385"/>
    </row>
    <row r="437" spans="1:39" s="20" customFormat="1" ht="30.75" customHeight="1">
      <c r="A437" s="174" t="s">
        <v>205</v>
      </c>
      <c r="B437" s="175"/>
      <c r="C437" s="175"/>
      <c r="D437" s="175"/>
      <c r="E437" s="387" t="s">
        <v>130</v>
      </c>
      <c r="F437" s="387"/>
      <c r="G437" s="387"/>
      <c r="H437" s="387"/>
      <c r="I437" s="387"/>
      <c r="J437" s="303" t="str">
        <f>J400</f>
        <v>Realisasi                      TA 2017</v>
      </c>
      <c r="K437" s="304"/>
      <c r="L437" s="304"/>
      <c r="M437" s="304"/>
      <c r="N437" s="305"/>
      <c r="O437" s="303" t="str">
        <f>O400</f>
        <v>Realisasi                   TA 2016</v>
      </c>
      <c r="P437" s="304"/>
      <c r="Q437" s="304"/>
      <c r="R437" s="304"/>
      <c r="S437" s="305"/>
      <c r="T437" s="408" t="s">
        <v>185</v>
      </c>
      <c r="U437" s="409"/>
      <c r="V437" s="204" t="s">
        <v>137</v>
      </c>
      <c r="W437" s="205"/>
      <c r="X437" s="205"/>
      <c r="Y437" s="362" t="s">
        <v>136</v>
      </c>
      <c r="Z437" s="363"/>
      <c r="AA437" s="363"/>
      <c r="AB437" s="363" t="s">
        <v>137</v>
      </c>
      <c r="AC437" s="362" t="s">
        <v>138</v>
      </c>
      <c r="AD437" s="363"/>
      <c r="AE437" s="363"/>
      <c r="AF437" s="363"/>
      <c r="AG437" s="385"/>
      <c r="AH437" s="385"/>
      <c r="AI437" s="385"/>
    </row>
    <row r="438" spans="1:39" s="20" customFormat="1" ht="22.5" customHeight="1">
      <c r="A438" s="410" t="str">
        <f>'[1]3.LRA'!C123</f>
        <v>Belanja Tanah</v>
      </c>
      <c r="B438" s="410"/>
      <c r="C438" s="410"/>
      <c r="D438" s="410"/>
      <c r="E438" s="365">
        <f>'[1]3.LRA'!D71</f>
        <v>12411732010</v>
      </c>
      <c r="F438" s="366"/>
      <c r="G438" s="366"/>
      <c r="H438" s="366"/>
      <c r="I438" s="367"/>
      <c r="J438" s="365">
        <f>'[1]3.LRA'!E123</f>
        <v>8900427600</v>
      </c>
      <c r="K438" s="366"/>
      <c r="L438" s="366"/>
      <c r="M438" s="366"/>
      <c r="N438" s="367"/>
      <c r="O438" s="365">
        <f>'[1]3.LRA'!F123</f>
        <v>55940000</v>
      </c>
      <c r="P438" s="366"/>
      <c r="Q438" s="366"/>
      <c r="R438" s="366"/>
      <c r="S438" s="367"/>
      <c r="T438" s="338">
        <f>(J438-O438)/O438*100</f>
        <v>15810.667858419736</v>
      </c>
      <c r="U438" s="339"/>
      <c r="V438" s="204">
        <f t="shared" ref="V438:V444" si="13">J438/E438*100</f>
        <v>71.709795158556602</v>
      </c>
      <c r="W438" s="205"/>
      <c r="X438" s="205"/>
      <c r="Y438" s="208">
        <f t="shared" ref="Y438:Y444" si="14">E438-J438</f>
        <v>3511304410</v>
      </c>
      <c r="Z438" s="209"/>
      <c r="AA438" s="209"/>
      <c r="AB438" s="209"/>
      <c r="AC438" s="208">
        <f t="shared" ref="AC438:AC444" si="15">J438-O438</f>
        <v>8844487600</v>
      </c>
      <c r="AD438" s="209"/>
      <c r="AE438" s="209"/>
      <c r="AF438" s="209"/>
    </row>
    <row r="439" spans="1:39" s="20" customFormat="1" ht="27" customHeight="1">
      <c r="A439" s="410" t="str">
        <f>'[1]3.LRA'!C124</f>
        <v>Belanja Peralatan dan Mesin</v>
      </c>
      <c r="B439" s="363"/>
      <c r="C439" s="363"/>
      <c r="D439" s="363"/>
      <c r="E439" s="365">
        <f>'[1]3.LRA'!D74</f>
        <v>1685000000</v>
      </c>
      <c r="F439" s="366"/>
      <c r="G439" s="366"/>
      <c r="H439" s="366"/>
      <c r="I439" s="367"/>
      <c r="J439" s="365">
        <f>'[1]3.LRA'!E124</f>
        <v>1529483730</v>
      </c>
      <c r="K439" s="366"/>
      <c r="L439" s="366"/>
      <c r="M439" s="366"/>
      <c r="N439" s="367"/>
      <c r="O439" s="365">
        <f>'[1]3.LRA'!F124</f>
        <v>4891087314</v>
      </c>
      <c r="P439" s="366"/>
      <c r="Q439" s="366"/>
      <c r="R439" s="366"/>
      <c r="S439" s="367"/>
      <c r="T439" s="338">
        <f t="shared" ref="T439:T444" si="16">(J439-O439)/O439*100</f>
        <v>-68.72916732395916</v>
      </c>
      <c r="U439" s="339"/>
      <c r="V439" s="204">
        <f t="shared" si="13"/>
        <v>90.770547774480718</v>
      </c>
      <c r="W439" s="205"/>
      <c r="X439" s="205"/>
      <c r="Y439" s="208">
        <f t="shared" si="14"/>
        <v>155516270</v>
      </c>
      <c r="Z439" s="209"/>
      <c r="AA439" s="209"/>
      <c r="AB439" s="209"/>
      <c r="AC439" s="208">
        <f t="shared" si="15"/>
        <v>-3361603584</v>
      </c>
      <c r="AD439" s="209"/>
      <c r="AE439" s="209"/>
      <c r="AF439" s="209"/>
    </row>
    <row r="440" spans="1:39" s="20" customFormat="1" ht="35.25" customHeight="1">
      <c r="A440" s="410" t="str">
        <f>'[1]3.LRA'!C125</f>
        <v xml:space="preserve"> Belanja Gedung dan Bangunan</v>
      </c>
      <c r="B440" s="363"/>
      <c r="C440" s="363"/>
      <c r="D440" s="363"/>
      <c r="E440" s="365">
        <f>'[1]3.LRA'!D85</f>
        <v>875000000</v>
      </c>
      <c r="F440" s="366"/>
      <c r="G440" s="366"/>
      <c r="H440" s="366"/>
      <c r="I440" s="367"/>
      <c r="J440" s="365">
        <f>'[1]3.LRA'!E125</f>
        <v>688904500</v>
      </c>
      <c r="K440" s="366"/>
      <c r="L440" s="366"/>
      <c r="M440" s="366"/>
      <c r="N440" s="367"/>
      <c r="O440" s="365">
        <f>'[1]3.LRA'!F125</f>
        <v>1437092999</v>
      </c>
      <c r="P440" s="366"/>
      <c r="Q440" s="366"/>
      <c r="R440" s="366"/>
      <c r="S440" s="367"/>
      <c r="T440" s="338">
        <f t="shared" si="16"/>
        <v>-52.062636135631188</v>
      </c>
      <c r="U440" s="339"/>
      <c r="V440" s="204">
        <f t="shared" si="13"/>
        <v>78.731942857142855</v>
      </c>
      <c r="W440" s="205"/>
      <c r="X440" s="205"/>
      <c r="Y440" s="208">
        <f t="shared" si="14"/>
        <v>186095500</v>
      </c>
      <c r="Z440" s="209"/>
      <c r="AA440" s="209"/>
      <c r="AB440" s="209"/>
      <c r="AC440" s="208">
        <f t="shared" si="15"/>
        <v>-748188499</v>
      </c>
      <c r="AD440" s="209"/>
      <c r="AE440" s="209"/>
      <c r="AF440" s="209"/>
    </row>
    <row r="441" spans="1:39" s="20" customFormat="1" ht="18.75" customHeight="1">
      <c r="A441" s="410" t="str">
        <f>'[1]3.LRA'!C126</f>
        <v xml:space="preserve">Belanja Jalan, Irigasi dan Jaringan </v>
      </c>
      <c r="B441" s="363"/>
      <c r="C441" s="363"/>
      <c r="D441" s="363"/>
      <c r="E441" s="365">
        <f>'[1]3.LRA'!D90</f>
        <v>104446431500</v>
      </c>
      <c r="F441" s="366"/>
      <c r="G441" s="366"/>
      <c r="H441" s="366"/>
      <c r="I441" s="367"/>
      <c r="J441" s="365">
        <f>'[1]3.LRA'!E126</f>
        <v>96693116460</v>
      </c>
      <c r="K441" s="366"/>
      <c r="L441" s="366"/>
      <c r="M441" s="366"/>
      <c r="N441" s="367"/>
      <c r="O441" s="365">
        <f>'[1]3.LRA'!F126</f>
        <v>114775808251</v>
      </c>
      <c r="P441" s="366"/>
      <c r="Q441" s="366"/>
      <c r="R441" s="366"/>
      <c r="S441" s="367"/>
      <c r="T441" s="338">
        <f t="shared" si="16"/>
        <v>-15.754793685665422</v>
      </c>
      <c r="U441" s="339"/>
      <c r="V441" s="204">
        <f t="shared" si="13"/>
        <v>92.576754486820363</v>
      </c>
      <c r="W441" s="205"/>
      <c r="X441" s="205"/>
      <c r="Y441" s="208">
        <f t="shared" si="14"/>
        <v>7753315040</v>
      </c>
      <c r="Z441" s="209"/>
      <c r="AA441" s="209"/>
      <c r="AB441" s="209"/>
      <c r="AC441" s="208">
        <f t="shared" si="15"/>
        <v>-18082691791</v>
      </c>
      <c r="AD441" s="209"/>
      <c r="AE441" s="209"/>
      <c r="AF441" s="209"/>
    </row>
    <row r="442" spans="1:39" s="20" customFormat="1" ht="34.5" customHeight="1">
      <c r="A442" s="410" t="str">
        <f>'[1]3.LRA'!C127</f>
        <v xml:space="preserve"> Belanja Aset Tetap Lainnya</v>
      </c>
      <c r="B442" s="363"/>
      <c r="C442" s="363"/>
      <c r="D442" s="363"/>
      <c r="E442" s="365">
        <f>'[1]3.LRA'!D94</f>
        <v>600000000</v>
      </c>
      <c r="F442" s="366"/>
      <c r="G442" s="366"/>
      <c r="H442" s="366"/>
      <c r="I442" s="367"/>
      <c r="J442" s="365">
        <f>'[1]3.LRA'!E127</f>
        <v>587377500</v>
      </c>
      <c r="K442" s="366"/>
      <c r="L442" s="366"/>
      <c r="M442" s="366"/>
      <c r="N442" s="367"/>
      <c r="O442" s="365">
        <f>'[1]3.LRA'!F127</f>
        <v>0</v>
      </c>
      <c r="P442" s="366"/>
      <c r="Q442" s="366"/>
      <c r="R442" s="366"/>
      <c r="S442" s="367"/>
      <c r="T442" s="338"/>
      <c r="U442" s="339"/>
      <c r="V442" s="204">
        <f t="shared" si="13"/>
        <v>97.896249999999995</v>
      </c>
      <c r="W442" s="205"/>
      <c r="X442" s="205"/>
      <c r="Y442" s="208">
        <f t="shared" si="14"/>
        <v>12622500</v>
      </c>
      <c r="Z442" s="209"/>
      <c r="AA442" s="209"/>
      <c r="AB442" s="209"/>
      <c r="AC442" s="208">
        <f t="shared" si="15"/>
        <v>587377500</v>
      </c>
      <c r="AD442" s="209"/>
      <c r="AE442" s="209"/>
      <c r="AF442" s="209"/>
    </row>
    <row r="443" spans="1:39" s="20" customFormat="1" ht="33.75" customHeight="1">
      <c r="A443" s="410" t="str">
        <f>'[1]3.LRA'!C98</f>
        <v>Belanja Aset Lainnya</v>
      </c>
      <c r="B443" s="363"/>
      <c r="C443" s="363"/>
      <c r="D443" s="363"/>
      <c r="E443" s="365">
        <f>'[1]3.LRA'!D98</f>
        <v>0</v>
      </c>
      <c r="F443" s="366"/>
      <c r="G443" s="366"/>
      <c r="H443" s="366"/>
      <c r="I443" s="367"/>
      <c r="J443" s="365">
        <f>'[1]3.LRA'!E98</f>
        <v>0</v>
      </c>
      <c r="K443" s="366"/>
      <c r="L443" s="366"/>
      <c r="M443" s="366"/>
      <c r="N443" s="367"/>
      <c r="O443" s="365">
        <f>'[1]3.LRA'!I98</f>
        <v>0</v>
      </c>
      <c r="P443" s="366"/>
      <c r="Q443" s="366"/>
      <c r="R443" s="366"/>
      <c r="S443" s="367"/>
      <c r="T443" s="338"/>
      <c r="U443" s="339"/>
      <c r="V443" s="204" t="e">
        <f t="shared" si="13"/>
        <v>#DIV/0!</v>
      </c>
      <c r="W443" s="205"/>
      <c r="X443" s="205"/>
      <c r="Y443" s="208">
        <f t="shared" si="14"/>
        <v>0</v>
      </c>
      <c r="Z443" s="209"/>
      <c r="AA443" s="209"/>
      <c r="AB443" s="209"/>
      <c r="AC443" s="208">
        <f t="shared" si="15"/>
        <v>0</v>
      </c>
      <c r="AD443" s="209"/>
      <c r="AE443" s="209"/>
      <c r="AF443" s="209"/>
    </row>
    <row r="444" spans="1:39" s="20" customFormat="1" ht="36.75" customHeight="1">
      <c r="A444" s="411" t="s">
        <v>143</v>
      </c>
      <c r="B444" s="412"/>
      <c r="C444" s="412"/>
      <c r="D444" s="413"/>
      <c r="E444" s="365">
        <f>SUM(E438:I443)</f>
        <v>120018163510</v>
      </c>
      <c r="F444" s="366"/>
      <c r="G444" s="366"/>
      <c r="H444" s="366"/>
      <c r="I444" s="367"/>
      <c r="J444" s="365">
        <f>SUM(J438:N443)</f>
        <v>108399309790</v>
      </c>
      <c r="K444" s="366"/>
      <c r="L444" s="366"/>
      <c r="M444" s="366"/>
      <c r="N444" s="367"/>
      <c r="O444" s="365">
        <f>SUM(O438:S443)</f>
        <v>121159928564</v>
      </c>
      <c r="P444" s="366"/>
      <c r="Q444" s="366"/>
      <c r="R444" s="366"/>
      <c r="S444" s="367"/>
      <c r="T444" s="338">
        <f t="shared" si="16"/>
        <v>-10.532045475133712</v>
      </c>
      <c r="U444" s="339"/>
      <c r="V444" s="204">
        <f t="shared" si="13"/>
        <v>90.319087227966193</v>
      </c>
      <c r="W444" s="205"/>
      <c r="X444" s="205"/>
      <c r="Y444" s="208">
        <f t="shared" si="14"/>
        <v>11618853720</v>
      </c>
      <c r="Z444" s="209"/>
      <c r="AA444" s="209"/>
      <c r="AB444" s="209"/>
      <c r="AC444" s="208">
        <f t="shared" si="15"/>
        <v>-12760618774</v>
      </c>
      <c r="AD444" s="209"/>
      <c r="AE444" s="209"/>
      <c r="AF444" s="209"/>
    </row>
    <row r="445" spans="1:39" s="20" customFormat="1" ht="16.5" customHeight="1">
      <c r="A445" s="18"/>
      <c r="B445" s="27"/>
      <c r="C445" s="27"/>
      <c r="D445" s="163"/>
      <c r="E445" s="164"/>
      <c r="F445" s="164"/>
      <c r="G445" s="164"/>
      <c r="H445" s="164"/>
      <c r="I445" s="164"/>
      <c r="J445" s="164"/>
      <c r="K445" s="164"/>
      <c r="L445" s="164"/>
      <c r="M445" s="164"/>
      <c r="N445" s="164"/>
      <c r="O445" s="164"/>
      <c r="P445" s="164"/>
      <c r="Q445" s="164"/>
      <c r="R445" s="164"/>
      <c r="S445" s="164"/>
      <c r="T445" s="46"/>
      <c r="U445" s="46"/>
      <c r="V445" s="27"/>
    </row>
    <row r="446" spans="1:39" s="20" customFormat="1" ht="16.5" customHeight="1">
      <c r="A446" s="18"/>
      <c r="B446" s="27"/>
      <c r="D446" s="9" t="s">
        <v>5</v>
      </c>
      <c r="E446" s="9" t="s">
        <v>207</v>
      </c>
      <c r="F446" s="9"/>
      <c r="G446" s="9"/>
      <c r="H446" s="9"/>
      <c r="I446" s="9"/>
      <c r="J446" s="27"/>
      <c r="K446" s="27"/>
      <c r="L446" s="37"/>
      <c r="M446" s="37"/>
      <c r="N446" s="37"/>
      <c r="O446" s="37"/>
      <c r="P446" s="37"/>
      <c r="Q446" s="37"/>
      <c r="R446" s="37"/>
      <c r="S446" s="37"/>
      <c r="T446" s="24"/>
      <c r="U446" s="24"/>
      <c r="V446" s="27"/>
      <c r="AJ446" s="414"/>
      <c r="AK446" s="414"/>
      <c r="AL446" s="414"/>
    </row>
    <row r="447" spans="1:39" s="20" customFormat="1" ht="90.75" customHeight="1">
      <c r="A447" s="18"/>
      <c r="E447" s="313" t="str">
        <f>"Belanja Modal Tanah TA "&amp;'[1]2.ISIAN DATA SKPD'!D11&amp;"  dapat terealisasi sebesar Rp. "&amp;FIXED(J454)&amp;" atau mencapai "&amp;FIXED(V454)&amp;"% dari anggaran yang ditetapkan sebesar Rp. "&amp;FIXED(E454)&amp;", kurang dari anggaran sebesar Rp. "&amp;FIXED(Y454)&amp;". Bila dibandingkan dengan TA "&amp;'[1]2.ISIAN DATA SKPD'!D12&amp;" mengalami kenaikan sebesar Rp. "&amp;FIXED(AC454)&amp;" atau "&amp;FIXED(T454)&amp;" % ."</f>
        <v>Belanja Modal Tanah TA 2017  dapat terealisasi sebesar Rp. 8,900,427,600.00 atau mencapai 71.71% dari anggaran yang ditetapkan sebesar Rp. 12,411,732,010.00, kurang dari anggaran sebesar Rp. 3,511,304,410.00. Bila dibandingkan dengan TA 2016 mengalami kenaikan sebesar Rp. 8,844,487,600.00 atau 15,910.67 % .</v>
      </c>
      <c r="F447" s="313"/>
      <c r="G447" s="313"/>
      <c r="H447" s="313"/>
      <c r="I447" s="313"/>
      <c r="J447" s="313"/>
      <c r="K447" s="313"/>
      <c r="L447" s="313"/>
      <c r="M447" s="313"/>
      <c r="N447" s="313"/>
      <c r="O447" s="313"/>
      <c r="P447" s="313"/>
      <c r="Q447" s="313"/>
      <c r="R447" s="313"/>
      <c r="S447" s="313"/>
      <c r="T447" s="313"/>
      <c r="U447" s="313"/>
      <c r="V447" s="27"/>
      <c r="AG447" s="415"/>
      <c r="AH447" s="415"/>
      <c r="AI447" s="416"/>
      <c r="AJ447" s="414"/>
      <c r="AK447" s="414"/>
      <c r="AL447" s="414"/>
    </row>
    <row r="448" spans="1:39" s="20" customFormat="1" ht="14.25" customHeight="1">
      <c r="A448" s="18"/>
      <c r="E448" s="417"/>
      <c r="F448" s="417"/>
      <c r="G448" s="417"/>
      <c r="H448" s="417"/>
      <c r="I448" s="417"/>
      <c r="J448" s="417"/>
      <c r="K448" s="417"/>
      <c r="L448" s="417"/>
      <c r="M448" s="417"/>
      <c r="N448" s="417"/>
      <c r="O448" s="417"/>
      <c r="P448" s="417"/>
      <c r="Q448" s="417"/>
      <c r="R448" s="417"/>
      <c r="S448" s="417"/>
      <c r="T448" s="417"/>
      <c r="U448" s="417"/>
      <c r="V448" s="27"/>
      <c r="AG448" s="415"/>
      <c r="AH448" s="415"/>
      <c r="AI448" s="416"/>
    </row>
    <row r="449" spans="1:32" s="20" customFormat="1" ht="11.25" customHeight="1">
      <c r="A449" s="18"/>
      <c r="C449" s="418"/>
      <c r="D449" s="418"/>
      <c r="E449" s="418"/>
      <c r="F449" s="418"/>
      <c r="G449" s="418"/>
      <c r="H449" s="418"/>
      <c r="I449" s="418"/>
      <c r="J449" s="418"/>
      <c r="K449" s="418"/>
      <c r="L449" s="418"/>
      <c r="M449" s="418"/>
      <c r="N449" s="418"/>
      <c r="O449" s="418"/>
      <c r="P449" s="418"/>
      <c r="Q449" s="418"/>
      <c r="R449" s="418"/>
      <c r="S449" s="418"/>
      <c r="T449" s="418"/>
      <c r="U449" s="418"/>
      <c r="V449" s="27"/>
    </row>
    <row r="450" spans="1:32" s="20" customFormat="1" ht="23.25" customHeight="1">
      <c r="A450" s="18"/>
      <c r="B450" s="386" t="str">
        <f>"Perbandingan Realisasi Belanja Modal Tanah TA "&amp;'[1]2.ISIAN DATA SKPD'!D11&amp;" dan "&amp;'[1]2.ISIAN DATA SKPD'!D12&amp;""</f>
        <v>Perbandingan Realisasi Belanja Modal Tanah TA 2017 dan 2016</v>
      </c>
      <c r="C450" s="386"/>
      <c r="D450" s="386"/>
      <c r="E450" s="386"/>
      <c r="F450" s="386"/>
      <c r="G450" s="386"/>
      <c r="H450" s="386"/>
      <c r="I450" s="386"/>
      <c r="J450" s="386"/>
      <c r="K450" s="386"/>
      <c r="L450" s="386"/>
      <c r="M450" s="386"/>
      <c r="N450" s="386"/>
      <c r="O450" s="386"/>
      <c r="P450" s="386"/>
      <c r="Q450" s="386"/>
      <c r="R450" s="386"/>
      <c r="S450" s="386"/>
      <c r="T450" s="386"/>
      <c r="U450" s="386"/>
      <c r="V450" s="27"/>
    </row>
    <row r="451" spans="1:32" s="20" customFormat="1" ht="29.25" customHeight="1">
      <c r="A451" s="387" t="s">
        <v>207</v>
      </c>
      <c r="B451" s="387"/>
      <c r="C451" s="387"/>
      <c r="D451" s="387"/>
      <c r="E451" s="387" t="s">
        <v>130</v>
      </c>
      <c r="F451" s="387"/>
      <c r="G451" s="387"/>
      <c r="H451" s="387"/>
      <c r="I451" s="387"/>
      <c r="J451" s="174" t="str">
        <f>J437</f>
        <v>Realisasi                      TA 2017</v>
      </c>
      <c r="K451" s="175"/>
      <c r="L451" s="175"/>
      <c r="M451" s="175"/>
      <c r="N451" s="176"/>
      <c r="O451" s="174" t="str">
        <f>O437</f>
        <v>Realisasi                   TA 2016</v>
      </c>
      <c r="P451" s="175"/>
      <c r="Q451" s="175"/>
      <c r="R451" s="175"/>
      <c r="S451" s="176"/>
      <c r="T451" s="324" t="s">
        <v>185</v>
      </c>
      <c r="U451" s="361"/>
      <c r="V451" s="204" t="s">
        <v>137</v>
      </c>
      <c r="W451" s="205"/>
      <c r="X451" s="205"/>
      <c r="Y451" s="362" t="s">
        <v>136</v>
      </c>
      <c r="Z451" s="363"/>
      <c r="AA451" s="363"/>
      <c r="AB451" s="363" t="s">
        <v>137</v>
      </c>
      <c r="AC451" s="362" t="s">
        <v>138</v>
      </c>
      <c r="AD451" s="363"/>
      <c r="AE451" s="363"/>
      <c r="AF451" s="363"/>
    </row>
    <row r="452" spans="1:32" s="20" customFormat="1" ht="36.75" customHeight="1">
      <c r="A452" s="364" t="str">
        <f>'[1]3.LRA'!C72</f>
        <v>Belanja Modal Tanah Bangunan Gedung</v>
      </c>
      <c r="B452" s="364"/>
      <c r="C452" s="364"/>
      <c r="D452" s="364"/>
      <c r="E452" s="419">
        <f>'[1]3.LRA'!D72</f>
        <v>0</v>
      </c>
      <c r="F452" s="420"/>
      <c r="G452" s="420"/>
      <c r="H452" s="420"/>
      <c r="I452" s="420"/>
      <c r="J452" s="419">
        <f>'[1]3.LRA'!E72</f>
        <v>0</v>
      </c>
      <c r="K452" s="420"/>
      <c r="L452" s="420"/>
      <c r="M452" s="420"/>
      <c r="N452" s="420"/>
      <c r="O452" s="365">
        <v>0</v>
      </c>
      <c r="P452" s="366"/>
      <c r="Q452" s="366"/>
      <c r="R452" s="366"/>
      <c r="S452" s="367"/>
      <c r="T452" s="338"/>
      <c r="U452" s="339"/>
      <c r="V452" s="204" t="e">
        <f>J452/E452*100</f>
        <v>#DIV/0!</v>
      </c>
      <c r="W452" s="205"/>
      <c r="X452" s="205"/>
      <c r="Y452" s="208">
        <f>E452-J452</f>
        <v>0</v>
      </c>
      <c r="Z452" s="209"/>
      <c r="AA452" s="209"/>
      <c r="AB452" s="209"/>
      <c r="AC452" s="208">
        <f>J452-O452</f>
        <v>0</v>
      </c>
      <c r="AD452" s="209"/>
      <c r="AE452" s="209"/>
      <c r="AF452" s="209"/>
    </row>
    <row r="453" spans="1:32" s="20" customFormat="1" ht="41.25" customHeight="1">
      <c r="A453" s="364" t="str">
        <f>'[1]3.LRA'!C73</f>
        <v>Belanja Modal Tanah Bangunan Bukan Gedung</v>
      </c>
      <c r="B453" s="363"/>
      <c r="C453" s="363"/>
      <c r="D453" s="363"/>
      <c r="E453" s="419">
        <f>'[1]3.LRA'!D73</f>
        <v>12411732010</v>
      </c>
      <c r="F453" s="420"/>
      <c r="G453" s="420"/>
      <c r="H453" s="420"/>
      <c r="I453" s="420"/>
      <c r="J453" s="419">
        <f>'[1]3.LRA'!E73</f>
        <v>8900427600</v>
      </c>
      <c r="K453" s="420"/>
      <c r="L453" s="420"/>
      <c r="M453" s="420"/>
      <c r="N453" s="420"/>
      <c r="O453" s="365">
        <f>'[1]3.LRA'!I73</f>
        <v>55940000</v>
      </c>
      <c r="P453" s="366"/>
      <c r="Q453" s="366"/>
      <c r="R453" s="366"/>
      <c r="S453" s="367"/>
      <c r="T453" s="338">
        <f>J453/O453*100</f>
        <v>15910.667858419736</v>
      </c>
      <c r="U453" s="339"/>
      <c r="V453" s="204">
        <f>J453/E453*100</f>
        <v>71.709795158556602</v>
      </c>
      <c r="W453" s="205"/>
      <c r="X453" s="205"/>
      <c r="Y453" s="208">
        <f>E453-J453</f>
        <v>3511304410</v>
      </c>
      <c r="Z453" s="209"/>
      <c r="AA453" s="209"/>
      <c r="AB453" s="209"/>
      <c r="AC453" s="208">
        <f>J453-O453</f>
        <v>8844487600</v>
      </c>
      <c r="AD453" s="209"/>
      <c r="AE453" s="209"/>
      <c r="AF453" s="209"/>
    </row>
    <row r="454" spans="1:32" s="20" customFormat="1" ht="24.75" customHeight="1">
      <c r="A454" s="387" t="s">
        <v>143</v>
      </c>
      <c r="B454" s="387"/>
      <c r="C454" s="387"/>
      <c r="D454" s="387"/>
      <c r="E454" s="365">
        <f>SUM(E452:I453)</f>
        <v>12411732010</v>
      </c>
      <c r="F454" s="366"/>
      <c r="G454" s="366"/>
      <c r="H454" s="366"/>
      <c r="I454" s="367"/>
      <c r="J454" s="365">
        <f>SUM(J452:N453)</f>
        <v>8900427600</v>
      </c>
      <c r="K454" s="366"/>
      <c r="L454" s="366"/>
      <c r="M454" s="366"/>
      <c r="N454" s="367"/>
      <c r="O454" s="365">
        <f>SUM(O452:S453)</f>
        <v>55940000</v>
      </c>
      <c r="P454" s="366"/>
      <c r="Q454" s="366"/>
      <c r="R454" s="366"/>
      <c r="S454" s="367"/>
      <c r="T454" s="338">
        <f>J454/O454*100</f>
        <v>15910.667858419736</v>
      </c>
      <c r="U454" s="339"/>
      <c r="V454" s="204">
        <f>J454/E454*100</f>
        <v>71.709795158556602</v>
      </c>
      <c r="W454" s="205"/>
      <c r="X454" s="205"/>
      <c r="Y454" s="208">
        <f>E454-J454</f>
        <v>3511304410</v>
      </c>
      <c r="Z454" s="209"/>
      <c r="AA454" s="209"/>
      <c r="AB454" s="209"/>
      <c r="AC454" s="208">
        <f>J454-O454</f>
        <v>8844487600</v>
      </c>
      <c r="AD454" s="209"/>
      <c r="AE454" s="209"/>
      <c r="AF454" s="209"/>
    </row>
    <row r="455" spans="1:32" s="20" customFormat="1" ht="25.5" customHeight="1">
      <c r="A455" s="18"/>
      <c r="B455" s="27"/>
      <c r="C455" s="27"/>
      <c r="D455" s="163"/>
      <c r="E455" s="164"/>
      <c r="F455" s="164"/>
      <c r="G455" s="164"/>
      <c r="H455" s="164"/>
      <c r="I455" s="164"/>
      <c r="J455" s="164"/>
      <c r="K455" s="164"/>
      <c r="L455" s="164"/>
      <c r="M455" s="164"/>
      <c r="N455" s="164"/>
      <c r="O455" s="164"/>
      <c r="P455" s="164"/>
      <c r="Q455" s="164"/>
      <c r="R455" s="164"/>
      <c r="S455" s="164"/>
      <c r="T455" s="46"/>
      <c r="U455" s="46"/>
      <c r="V455" s="27"/>
    </row>
    <row r="456" spans="1:32" s="20" customFormat="1" ht="25.5" customHeight="1">
      <c r="A456" s="18"/>
      <c r="B456" s="27"/>
      <c r="C456" s="27"/>
      <c r="D456" s="421"/>
      <c r="E456" s="422" t="s">
        <v>119</v>
      </c>
      <c r="F456" s="423" t="s">
        <v>208</v>
      </c>
      <c r="G456" s="423"/>
      <c r="H456" s="423"/>
      <c r="I456" s="423"/>
      <c r="J456" s="423"/>
      <c r="K456" s="423"/>
      <c r="L456" s="423"/>
      <c r="M456" s="423"/>
      <c r="N456" s="423"/>
      <c r="O456" s="423"/>
      <c r="P456" s="423"/>
      <c r="Q456" s="423"/>
      <c r="R456" s="423"/>
      <c r="S456" s="423"/>
      <c r="T456" s="423"/>
      <c r="U456" s="423"/>
      <c r="V456" s="27"/>
    </row>
    <row r="457" spans="1:32" s="20" customFormat="1" ht="30.75" customHeight="1">
      <c r="A457" s="18"/>
      <c r="B457" s="27"/>
      <c r="C457" s="27"/>
      <c r="D457" s="421"/>
      <c r="E457" s="422"/>
      <c r="F457" s="424" t="s">
        <v>209</v>
      </c>
      <c r="G457" s="424"/>
      <c r="H457" s="424"/>
      <c r="I457" s="424"/>
      <c r="J457" s="424"/>
      <c r="K457" s="424"/>
      <c r="L457" s="424"/>
      <c r="M457" s="424"/>
      <c r="N457" s="424"/>
      <c r="O457" s="424"/>
      <c r="P457" s="424"/>
      <c r="Q457" s="424"/>
      <c r="R457" s="424"/>
      <c r="S457" s="424"/>
      <c r="T457" s="424"/>
      <c r="U457" s="424"/>
      <c r="V457" s="27"/>
    </row>
    <row r="458" spans="1:32" s="20" customFormat="1" ht="18.75" customHeight="1">
      <c r="A458" s="18"/>
      <c r="B458" s="27"/>
      <c r="C458" s="27"/>
      <c r="D458" s="421"/>
      <c r="E458" s="425" t="s">
        <v>112</v>
      </c>
      <c r="F458" s="358" t="s">
        <v>210</v>
      </c>
      <c r="G458" s="358"/>
      <c r="H458" s="358"/>
      <c r="I458" s="358"/>
      <c r="J458" s="358"/>
      <c r="K458" s="358"/>
      <c r="L458" s="358"/>
      <c r="M458" s="358"/>
      <c r="N458" s="358"/>
      <c r="O458" s="358"/>
      <c r="P458" s="358"/>
      <c r="Q458" s="358"/>
      <c r="R458" s="358"/>
      <c r="S458" s="358"/>
      <c r="T458" s="358"/>
      <c r="U458" s="358"/>
      <c r="V458" s="27"/>
    </row>
    <row r="459" spans="1:32" s="20" customFormat="1" ht="30.75" customHeight="1">
      <c r="A459" s="18"/>
      <c r="B459" s="27"/>
      <c r="C459" s="27"/>
      <c r="D459" s="426"/>
      <c r="E459" s="425"/>
      <c r="F459" s="424" t="s">
        <v>211</v>
      </c>
      <c r="G459" s="424"/>
      <c r="H459" s="424"/>
      <c r="I459" s="424"/>
      <c r="J459" s="424"/>
      <c r="K459" s="424"/>
      <c r="L459" s="424"/>
      <c r="M459" s="424"/>
      <c r="N459" s="424"/>
      <c r="O459" s="424"/>
      <c r="P459" s="424"/>
      <c r="Q459" s="424"/>
      <c r="R459" s="424"/>
      <c r="S459" s="424"/>
      <c r="T459" s="424"/>
      <c r="U459" s="424"/>
      <c r="V459" s="27"/>
    </row>
    <row r="460" spans="1:32" s="20" customFormat="1" ht="5.25" customHeight="1">
      <c r="A460" s="18"/>
      <c r="B460" s="27"/>
      <c r="C460" s="27"/>
      <c r="D460" s="163"/>
      <c r="E460" s="425"/>
      <c r="F460" s="427"/>
      <c r="G460" s="427"/>
      <c r="H460" s="427"/>
      <c r="I460" s="427"/>
      <c r="J460" s="427"/>
      <c r="K460" s="427"/>
      <c r="L460" s="427"/>
      <c r="M460" s="427"/>
      <c r="N460" s="427"/>
      <c r="O460" s="427"/>
      <c r="P460" s="427"/>
      <c r="Q460" s="427"/>
      <c r="R460" s="427"/>
      <c r="S460" s="427"/>
      <c r="T460" s="427"/>
      <c r="U460" s="427"/>
      <c r="V460" s="27"/>
    </row>
    <row r="461" spans="1:32" s="20" customFormat="1" ht="18.75" customHeight="1">
      <c r="A461" s="18"/>
      <c r="B461" s="27"/>
      <c r="D461" s="359" t="s">
        <v>7</v>
      </c>
      <c r="E461" s="359" t="s">
        <v>212</v>
      </c>
      <c r="F461" s="359"/>
      <c r="G461" s="27"/>
      <c r="H461" s="27"/>
      <c r="I461" s="27"/>
      <c r="J461" s="27"/>
      <c r="K461" s="27"/>
      <c r="L461" s="37"/>
      <c r="M461" s="37"/>
      <c r="N461" s="37"/>
      <c r="O461" s="37"/>
      <c r="P461" s="37"/>
      <c r="Q461" s="37"/>
      <c r="R461" s="37"/>
      <c r="S461" s="37"/>
      <c r="T461" s="24"/>
      <c r="U461" s="24"/>
      <c r="V461" s="27"/>
    </row>
    <row r="462" spans="1:32" s="20" customFormat="1" ht="90.75" customHeight="1">
      <c r="A462" s="18"/>
      <c r="E462" s="428" t="str">
        <f>"Realisasi Belanja Modal Peralatan dan Mesin TA "&amp;'[1]2.ISIAN DATA SKPD'!D11&amp;" sebesar Rp. "&amp;FIXED(J476)&amp;", atau mencapai sebesar "&amp;FIXED(V476)&amp;"% dari anggaran sebesar Rp. "&amp;FIXED(E476)&amp;".    Bila dibandingkan dengan realisasi TA "&amp;'[1]2.ISIAN DATA SKPD'!D12&amp;" sebesar "&amp;FIXED(O476)&amp;" turun sebesar Rp. "&amp;FIXED(AC476)&amp;" atau "&amp;FIXED(T476)&amp;"%."</f>
        <v>Realisasi Belanja Modal Peralatan dan Mesin TA 2017 sebesar Rp. 1,529,483,730.00, atau mencapai sebesar 90.77% dari anggaran sebesar Rp. 1,685,000,000.00.    Bila dibandingkan dengan realisasi TA 2016 sebesar 4,789,812,314.00 turun sebesar Rp. -3,260,328,584.00 atau -68.07%.</v>
      </c>
      <c r="F462" s="428"/>
      <c r="G462" s="428"/>
      <c r="H462" s="428"/>
      <c r="I462" s="428"/>
      <c r="J462" s="428"/>
      <c r="K462" s="428"/>
      <c r="L462" s="428"/>
      <c r="M462" s="428"/>
      <c r="N462" s="428"/>
      <c r="O462" s="428"/>
      <c r="P462" s="428"/>
      <c r="Q462" s="428"/>
      <c r="R462" s="428"/>
      <c r="S462" s="428"/>
      <c r="T462" s="428"/>
      <c r="U462" s="428"/>
      <c r="V462" s="429"/>
      <c r="W462" s="429"/>
      <c r="X462" s="429"/>
      <c r="Y462" s="429"/>
      <c r="Z462" s="429"/>
      <c r="AA462" s="429"/>
      <c r="AB462" s="429"/>
      <c r="AC462" s="429"/>
      <c r="AD462" s="429"/>
      <c r="AE462" s="429"/>
      <c r="AF462" s="429"/>
    </row>
    <row r="463" spans="1:32" s="20" customFormat="1" ht="7.5" customHeight="1">
      <c r="A463" s="18"/>
      <c r="C463" s="46"/>
      <c r="D463" s="46"/>
      <c r="E463" s="46"/>
      <c r="F463" s="46"/>
      <c r="G463" s="46"/>
      <c r="H463" s="46"/>
      <c r="I463" s="46"/>
      <c r="J463" s="46"/>
      <c r="K463" s="46"/>
      <c r="L463" s="46"/>
      <c r="M463" s="46"/>
      <c r="N463" s="46"/>
      <c r="O463" s="46"/>
      <c r="P463" s="46"/>
      <c r="Q463" s="46"/>
      <c r="R463" s="46"/>
      <c r="S463" s="46"/>
      <c r="T463" s="46"/>
      <c r="U463" s="46"/>
      <c r="V463" s="27"/>
    </row>
    <row r="464" spans="1:32" s="20" customFormat="1" ht="27.75" customHeight="1">
      <c r="A464" s="18"/>
      <c r="B464" s="430" t="str">
        <f>"Perbandingan Realisasi Belanja Modal Perlatan dan Mesin                                      TA "&amp;'[1]2.ISIAN DATA SKPD'!D11&amp;" dan "&amp;'[1]2.ISIAN DATA SKPD'!D12&amp;""</f>
        <v>Perbandingan Realisasi Belanja Modal Perlatan dan Mesin                                      TA 2017 dan 2016</v>
      </c>
      <c r="C464" s="430"/>
      <c r="D464" s="430"/>
      <c r="E464" s="430"/>
      <c r="F464" s="430"/>
      <c r="G464" s="430"/>
      <c r="H464" s="430"/>
      <c r="I464" s="430"/>
      <c r="J464" s="430"/>
      <c r="K464" s="430"/>
      <c r="L464" s="430"/>
      <c r="M464" s="430"/>
      <c r="N464" s="430"/>
      <c r="O464" s="430"/>
      <c r="P464" s="430"/>
      <c r="Q464" s="430"/>
      <c r="R464" s="430"/>
      <c r="S464" s="430"/>
      <c r="T464" s="430"/>
      <c r="U464" s="430"/>
      <c r="V464" s="285"/>
      <c r="W464" s="285"/>
      <c r="X464" s="285"/>
      <c r="Y464" s="285"/>
      <c r="Z464" s="285"/>
      <c r="AA464" s="285"/>
      <c r="AB464" s="285"/>
      <c r="AC464" s="285"/>
      <c r="AD464" s="285"/>
      <c r="AE464" s="285"/>
      <c r="AF464" s="285"/>
    </row>
    <row r="465" spans="1:38" s="20" customFormat="1" ht="39.75" customHeight="1">
      <c r="A465" s="387" t="s">
        <v>212</v>
      </c>
      <c r="B465" s="387"/>
      <c r="C465" s="387"/>
      <c r="D465" s="387"/>
      <c r="E465" s="387" t="s">
        <v>130</v>
      </c>
      <c r="F465" s="387"/>
      <c r="G465" s="387"/>
      <c r="H465" s="387"/>
      <c r="I465" s="387"/>
      <c r="J465" s="174" t="str">
        <f>J451</f>
        <v>Realisasi                      TA 2017</v>
      </c>
      <c r="K465" s="175"/>
      <c r="L465" s="175"/>
      <c r="M465" s="175"/>
      <c r="N465" s="176"/>
      <c r="O465" s="174" t="str">
        <f>O437</f>
        <v>Realisasi                   TA 2016</v>
      </c>
      <c r="P465" s="175"/>
      <c r="Q465" s="175"/>
      <c r="R465" s="175"/>
      <c r="S465" s="176"/>
      <c r="T465" s="324" t="s">
        <v>185</v>
      </c>
      <c r="U465" s="361"/>
      <c r="V465" s="431" t="s">
        <v>137</v>
      </c>
      <c r="W465" s="432"/>
      <c r="X465" s="432"/>
      <c r="Y465" s="433" t="s">
        <v>136</v>
      </c>
      <c r="Z465" s="209"/>
      <c r="AA465" s="209"/>
      <c r="AB465" s="209" t="s">
        <v>137</v>
      </c>
      <c r="AC465" s="433" t="s">
        <v>138</v>
      </c>
      <c r="AD465" s="209"/>
      <c r="AE465" s="209"/>
      <c r="AF465" s="209"/>
      <c r="AJ465" s="429"/>
      <c r="AK465" s="429"/>
      <c r="AL465" s="429"/>
    </row>
    <row r="466" spans="1:38" s="20" customFormat="1" ht="24" customHeight="1">
      <c r="A466" s="434" t="str">
        <f>'[1]3.LRA'!C75</f>
        <v>Pengadaan Alat Bantu/besar darat</v>
      </c>
      <c r="B466" s="434"/>
      <c r="C466" s="434"/>
      <c r="D466" s="434"/>
      <c r="E466" s="419">
        <f>'[1]3.LRA'!D75</f>
        <v>0</v>
      </c>
      <c r="F466" s="420"/>
      <c r="G466" s="420"/>
      <c r="H466" s="420"/>
      <c r="I466" s="420"/>
      <c r="J466" s="419">
        <f>'[1]3.LRA'!E75</f>
        <v>0</v>
      </c>
      <c r="K466" s="420"/>
      <c r="L466" s="420"/>
      <c r="M466" s="420"/>
      <c r="N466" s="420"/>
      <c r="O466" s="419">
        <f>'[1]3.LRA'!I75</f>
        <v>3838209782</v>
      </c>
      <c r="P466" s="420"/>
      <c r="Q466" s="420"/>
      <c r="R466" s="420"/>
      <c r="S466" s="420"/>
      <c r="T466" s="338">
        <f t="shared" ref="T466:T476" si="17">(J466-O466)/O466*100</f>
        <v>-100</v>
      </c>
      <c r="U466" s="339"/>
      <c r="V466" s="204" t="e">
        <f t="shared" ref="V466:V476" si="18">J466/E466*100</f>
        <v>#DIV/0!</v>
      </c>
      <c r="W466" s="205"/>
      <c r="X466" s="205"/>
      <c r="Y466" s="208">
        <f>E466-J466</f>
        <v>0</v>
      </c>
      <c r="Z466" s="209"/>
      <c r="AA466" s="209"/>
      <c r="AB466" s="209"/>
      <c r="AC466" s="208">
        <f>J466-O466</f>
        <v>-3838209782</v>
      </c>
      <c r="AD466" s="209"/>
      <c r="AE466" s="209"/>
      <c r="AF466" s="209"/>
      <c r="AG466" s="429"/>
      <c r="AH466" s="429"/>
      <c r="AI466" s="429"/>
    </row>
    <row r="467" spans="1:38" s="20" customFormat="1" ht="33.75" customHeight="1">
      <c r="A467" s="434" t="str">
        <f>'[1]3.LRA'!C76</f>
        <v>Pengadaan Alat Angkutan</v>
      </c>
      <c r="B467" s="434"/>
      <c r="C467" s="434"/>
      <c r="D467" s="434"/>
      <c r="E467" s="419">
        <f>'[1]3.LRA'!D76</f>
        <v>1500000000</v>
      </c>
      <c r="F467" s="420"/>
      <c r="G467" s="420"/>
      <c r="H467" s="420"/>
      <c r="I467" s="420"/>
      <c r="J467" s="419">
        <f>'[1]3.LRA'!E76</f>
        <v>1350056650</v>
      </c>
      <c r="K467" s="420"/>
      <c r="L467" s="420"/>
      <c r="M467" s="420"/>
      <c r="N467" s="420"/>
      <c r="O467" s="419">
        <f>'[1]3.LRA'!I76</f>
        <v>365953500</v>
      </c>
      <c r="P467" s="420"/>
      <c r="Q467" s="420"/>
      <c r="R467" s="420"/>
      <c r="S467" s="420"/>
      <c r="T467" s="338">
        <f t="shared" si="17"/>
        <v>268.91480748237137</v>
      </c>
      <c r="U467" s="339"/>
      <c r="V467" s="204">
        <f t="shared" si="18"/>
        <v>90.003776666666667</v>
      </c>
      <c r="W467" s="205"/>
      <c r="X467" s="205"/>
      <c r="Y467" s="208">
        <f>E467-J467</f>
        <v>149943350</v>
      </c>
      <c r="Z467" s="209"/>
      <c r="AA467" s="209"/>
      <c r="AB467" s="209"/>
      <c r="AC467" s="208">
        <f>J467-O467</f>
        <v>984103150</v>
      </c>
      <c r="AD467" s="209"/>
      <c r="AE467" s="209"/>
      <c r="AF467" s="209"/>
      <c r="AJ467" s="285"/>
      <c r="AK467" s="285"/>
      <c r="AL467" s="285"/>
    </row>
    <row r="468" spans="1:38" s="20" customFormat="1" ht="32.25" customHeight="1">
      <c r="A468" s="434" t="str">
        <f>'[1]3.LRA'!C77</f>
        <v>Pengadaan Alat Kantor</v>
      </c>
      <c r="B468" s="434"/>
      <c r="C468" s="434"/>
      <c r="D468" s="434"/>
      <c r="E468" s="419">
        <f>'[1]3.LRA'!D77</f>
        <v>0</v>
      </c>
      <c r="F468" s="420"/>
      <c r="G468" s="420"/>
      <c r="H468" s="420"/>
      <c r="I468" s="420"/>
      <c r="J468" s="419">
        <f>'[1]3.LRA'!E77</f>
        <v>0</v>
      </c>
      <c r="K468" s="420"/>
      <c r="L468" s="420"/>
      <c r="M468" s="420"/>
      <c r="N468" s="420"/>
      <c r="O468" s="419">
        <f>'[1]3.LRA'!I77</f>
        <v>167435000</v>
      </c>
      <c r="P468" s="420"/>
      <c r="Q468" s="420"/>
      <c r="R468" s="420"/>
      <c r="S468" s="420"/>
      <c r="T468" s="338">
        <f t="shared" si="17"/>
        <v>-100</v>
      </c>
      <c r="U468" s="339"/>
      <c r="V468" s="204" t="e">
        <f t="shared" si="18"/>
        <v>#DIV/0!</v>
      </c>
      <c r="W468" s="205"/>
      <c r="X468" s="205"/>
      <c r="Y468" s="208">
        <f>E468-J468</f>
        <v>0</v>
      </c>
      <c r="Z468" s="209"/>
      <c r="AA468" s="209"/>
      <c r="AB468" s="209"/>
      <c r="AC468" s="208">
        <f>J468-O468</f>
        <v>-167435000</v>
      </c>
      <c r="AD468" s="209"/>
      <c r="AE468" s="209"/>
      <c r="AF468" s="209"/>
      <c r="AG468" s="285"/>
      <c r="AH468" s="285"/>
      <c r="AI468" s="285"/>
    </row>
    <row r="469" spans="1:38" s="20" customFormat="1" ht="32.25" customHeight="1">
      <c r="A469" s="434" t="str">
        <f>'[1]3.LRA'!C78</f>
        <v>Pengadaan Alat Rumah Tangga</v>
      </c>
      <c r="B469" s="435"/>
      <c r="C469" s="435"/>
      <c r="D469" s="435"/>
      <c r="E469" s="419">
        <f>'[1]3.LRA'!D78</f>
        <v>25000000</v>
      </c>
      <c r="F469" s="420"/>
      <c r="G469" s="420"/>
      <c r="H469" s="420"/>
      <c r="I469" s="420"/>
      <c r="J469" s="419">
        <f>'[1]3.LRA'!E78</f>
        <v>24427500</v>
      </c>
      <c r="K469" s="420"/>
      <c r="L469" s="420"/>
      <c r="M469" s="420"/>
      <c r="N469" s="420"/>
      <c r="O469" s="419">
        <f>'[1]3.LRA'!I78</f>
        <v>139401500</v>
      </c>
      <c r="P469" s="420"/>
      <c r="Q469" s="420"/>
      <c r="R469" s="420"/>
      <c r="S469" s="420"/>
      <c r="T469" s="338">
        <f t="shared" si="17"/>
        <v>-82.47687435214111</v>
      </c>
      <c r="U469" s="339"/>
      <c r="V469" s="204">
        <f t="shared" si="18"/>
        <v>97.71</v>
      </c>
      <c r="W469" s="205"/>
      <c r="X469" s="205"/>
      <c r="Y469" s="208">
        <f t="shared" ref="Y469:Y476" si="19">E469-J469</f>
        <v>572500</v>
      </c>
      <c r="Z469" s="209"/>
      <c r="AA469" s="209"/>
      <c r="AB469" s="209"/>
      <c r="AC469" s="208">
        <f t="shared" ref="AC469:AC476" si="20">J469-O469</f>
        <v>-114974000</v>
      </c>
      <c r="AD469" s="209"/>
      <c r="AE469" s="209"/>
      <c r="AF469" s="209"/>
    </row>
    <row r="470" spans="1:38" s="20" customFormat="1" ht="18" customHeight="1">
      <c r="A470" s="434" t="str">
        <f>'[1]3.LRA'!C79</f>
        <v>Pengadaan Komputer</v>
      </c>
      <c r="B470" s="435"/>
      <c r="C470" s="435"/>
      <c r="D470" s="435"/>
      <c r="E470" s="419">
        <f>'[1]3.LRA'!D79</f>
        <v>20000000</v>
      </c>
      <c r="F470" s="420"/>
      <c r="G470" s="420"/>
      <c r="H470" s="420"/>
      <c r="I470" s="420"/>
      <c r="J470" s="419">
        <f>'[1]3.LRA'!E79</f>
        <v>18526080</v>
      </c>
      <c r="K470" s="420"/>
      <c r="L470" s="420"/>
      <c r="M470" s="420"/>
      <c r="N470" s="420"/>
      <c r="O470" s="419">
        <f>'[1]3.LRA'!I79</f>
        <v>175961300</v>
      </c>
      <c r="P470" s="420"/>
      <c r="Q470" s="420"/>
      <c r="R470" s="420"/>
      <c r="S470" s="420"/>
      <c r="T470" s="338">
        <f t="shared" si="17"/>
        <v>-89.471503108922249</v>
      </c>
      <c r="U470" s="339"/>
      <c r="V470" s="204">
        <f t="shared" si="18"/>
        <v>92.630400000000009</v>
      </c>
      <c r="W470" s="205"/>
      <c r="X470" s="205"/>
      <c r="Y470" s="208">
        <f t="shared" si="19"/>
        <v>1473920</v>
      </c>
      <c r="Z470" s="209"/>
      <c r="AA470" s="209"/>
      <c r="AB470" s="209"/>
      <c r="AC470" s="208">
        <f t="shared" si="20"/>
        <v>-157435220</v>
      </c>
      <c r="AD470" s="209"/>
      <c r="AE470" s="209"/>
      <c r="AF470" s="209"/>
    </row>
    <row r="471" spans="1:38" s="20" customFormat="1" ht="17.25" customHeight="1">
      <c r="A471" s="434" t="str">
        <f>'[1]3.LRA'!C80</f>
        <v>Pengadaan Alat Studio</v>
      </c>
      <c r="B471" s="435"/>
      <c r="C471" s="435"/>
      <c r="D471" s="435"/>
      <c r="E471" s="419">
        <f>'[1]3.LRA'!D80</f>
        <v>40000000</v>
      </c>
      <c r="F471" s="420"/>
      <c r="G471" s="420"/>
      <c r="H471" s="420"/>
      <c r="I471" s="420"/>
      <c r="J471" s="419">
        <f>'[1]3.LRA'!E80</f>
        <v>38785000</v>
      </c>
      <c r="K471" s="420"/>
      <c r="L471" s="420"/>
      <c r="M471" s="420"/>
      <c r="N471" s="420"/>
      <c r="O471" s="419">
        <f>'[1]3.LRA'!I80</f>
        <v>72952232</v>
      </c>
      <c r="P471" s="420"/>
      <c r="Q471" s="420"/>
      <c r="R471" s="420"/>
      <c r="S471" s="420"/>
      <c r="T471" s="338">
        <f t="shared" si="17"/>
        <v>-46.83507421678339</v>
      </c>
      <c r="U471" s="339"/>
      <c r="V471" s="204">
        <f t="shared" si="18"/>
        <v>96.962499999999991</v>
      </c>
      <c r="W471" s="205"/>
      <c r="X471" s="205"/>
      <c r="Y471" s="208">
        <f t="shared" si="19"/>
        <v>1215000</v>
      </c>
      <c r="Z471" s="209"/>
      <c r="AA471" s="209"/>
      <c r="AB471" s="209"/>
      <c r="AC471" s="208">
        <f t="shared" si="20"/>
        <v>-34167232</v>
      </c>
      <c r="AD471" s="209"/>
      <c r="AE471" s="209"/>
      <c r="AF471" s="209"/>
    </row>
    <row r="472" spans="1:38" s="20" customFormat="1" ht="31.5" customHeight="1">
      <c r="A472" s="434" t="str">
        <f>'[1]3.LRA'!C81</f>
        <v>Pengadaan Alat komunikasi</v>
      </c>
      <c r="B472" s="435"/>
      <c r="C472" s="435"/>
      <c r="D472" s="435"/>
      <c r="E472" s="419">
        <f>'[1]3.LRA'!D81</f>
        <v>0</v>
      </c>
      <c r="F472" s="420"/>
      <c r="G472" s="420"/>
      <c r="H472" s="420"/>
      <c r="I472" s="420"/>
      <c r="J472" s="419">
        <f>'[1]3.LRA'!E81</f>
        <v>0</v>
      </c>
      <c r="K472" s="420"/>
      <c r="L472" s="420"/>
      <c r="M472" s="420"/>
      <c r="N472" s="420"/>
      <c r="O472" s="419">
        <f>'[1]3.LRA'!I81</f>
        <v>12899000</v>
      </c>
      <c r="P472" s="420"/>
      <c r="Q472" s="420"/>
      <c r="R472" s="420"/>
      <c r="S472" s="420"/>
      <c r="T472" s="338">
        <f t="shared" si="17"/>
        <v>-100</v>
      </c>
      <c r="U472" s="339"/>
      <c r="V472" s="204" t="e">
        <f t="shared" si="18"/>
        <v>#DIV/0!</v>
      </c>
      <c r="W472" s="205"/>
      <c r="X472" s="205"/>
      <c r="Y472" s="208">
        <f t="shared" si="19"/>
        <v>0</v>
      </c>
      <c r="Z472" s="209"/>
      <c r="AA472" s="209"/>
      <c r="AB472" s="209"/>
      <c r="AC472" s="208">
        <f t="shared" si="20"/>
        <v>-12899000</v>
      </c>
      <c r="AD472" s="209"/>
      <c r="AE472" s="209"/>
      <c r="AF472" s="209"/>
    </row>
    <row r="473" spans="1:38" s="20" customFormat="1" ht="17.25" customHeight="1">
      <c r="A473" s="434" t="str">
        <f>'[1]3.LRA'!C82</f>
        <v xml:space="preserve">pengadaan Alat Pemel Tanaman </v>
      </c>
      <c r="B473" s="435"/>
      <c r="C473" s="435"/>
      <c r="D473" s="435"/>
      <c r="E473" s="419">
        <f>'[1]3.LRA'!D82</f>
        <v>0</v>
      </c>
      <c r="F473" s="420"/>
      <c r="G473" s="420"/>
      <c r="H473" s="420"/>
      <c r="I473" s="420"/>
      <c r="J473" s="419">
        <f>'[1]3.LRA'!E82</f>
        <v>0</v>
      </c>
      <c r="K473" s="420"/>
      <c r="L473" s="420"/>
      <c r="M473" s="420"/>
      <c r="N473" s="420"/>
      <c r="O473" s="419">
        <f>'[1]3.LRA'!I82</f>
        <v>9000000</v>
      </c>
      <c r="P473" s="420"/>
      <c r="Q473" s="420"/>
      <c r="R473" s="420"/>
      <c r="S473" s="420"/>
      <c r="T473" s="338">
        <f t="shared" si="17"/>
        <v>-100</v>
      </c>
      <c r="U473" s="339"/>
      <c r="V473" s="204" t="e">
        <f t="shared" si="18"/>
        <v>#DIV/0!</v>
      </c>
      <c r="W473" s="205"/>
      <c r="X473" s="205"/>
      <c r="Y473" s="208">
        <f t="shared" si="19"/>
        <v>0</v>
      </c>
      <c r="Z473" s="209"/>
      <c r="AA473" s="209"/>
      <c r="AB473" s="209"/>
      <c r="AC473" s="208">
        <f t="shared" si="20"/>
        <v>-9000000</v>
      </c>
      <c r="AD473" s="209"/>
      <c r="AE473" s="209"/>
      <c r="AF473" s="209"/>
    </row>
    <row r="474" spans="1:38" s="20" customFormat="1" ht="17.25" customHeight="1">
      <c r="A474" s="434" t="str">
        <f>'[1]3.LRA'!C83</f>
        <v>Pengadaan  alat ukur</v>
      </c>
      <c r="B474" s="435"/>
      <c r="C474" s="435"/>
      <c r="D474" s="435"/>
      <c r="E474" s="419">
        <f>'[1]3.LRA'!D83</f>
        <v>0</v>
      </c>
      <c r="F474" s="420"/>
      <c r="G474" s="420"/>
      <c r="H474" s="420"/>
      <c r="I474" s="420"/>
      <c r="J474" s="419">
        <f>'[1]3.LRA'!E83</f>
        <v>0</v>
      </c>
      <c r="K474" s="420"/>
      <c r="L474" s="420"/>
      <c r="M474" s="420"/>
      <c r="N474" s="420"/>
      <c r="O474" s="419">
        <f>'[1]3.LRA'!I83</f>
        <v>8000000</v>
      </c>
      <c r="P474" s="420"/>
      <c r="Q474" s="420"/>
      <c r="R474" s="420"/>
      <c r="S474" s="420"/>
      <c r="T474" s="338">
        <f t="shared" si="17"/>
        <v>-100</v>
      </c>
      <c r="U474" s="339"/>
      <c r="V474" s="204" t="e">
        <f t="shared" si="18"/>
        <v>#DIV/0!</v>
      </c>
      <c r="W474" s="205"/>
      <c r="X474" s="205"/>
      <c r="Y474" s="208">
        <f t="shared" si="19"/>
        <v>0</v>
      </c>
      <c r="Z474" s="209"/>
      <c r="AA474" s="209"/>
      <c r="AB474" s="209"/>
      <c r="AC474" s="208">
        <f t="shared" si="20"/>
        <v>-8000000</v>
      </c>
      <c r="AD474" s="209"/>
      <c r="AE474" s="209"/>
      <c r="AF474" s="209"/>
    </row>
    <row r="475" spans="1:38" s="20" customFormat="1" ht="30" customHeight="1">
      <c r="A475" s="434" t="str">
        <f>'[1]3.LRA'!C84</f>
        <v xml:space="preserve">Pengadaan Unit-unit Laboratorium </v>
      </c>
      <c r="B475" s="435"/>
      <c r="C475" s="435"/>
      <c r="D475" s="435"/>
      <c r="E475" s="419">
        <f>'[1]3.LRA'!D84</f>
        <v>100000000</v>
      </c>
      <c r="F475" s="420"/>
      <c r="G475" s="420"/>
      <c r="H475" s="420"/>
      <c r="I475" s="420"/>
      <c r="J475" s="419">
        <f>'[1]3.LRA'!E84</f>
        <v>97688500</v>
      </c>
      <c r="K475" s="420"/>
      <c r="L475" s="420"/>
      <c r="M475" s="420"/>
      <c r="N475" s="420"/>
      <c r="O475" s="419">
        <f>'[1]3.LRA'!I84</f>
        <v>101275000</v>
      </c>
      <c r="P475" s="420"/>
      <c r="Q475" s="420"/>
      <c r="R475" s="420"/>
      <c r="S475" s="420"/>
      <c r="T475" s="338">
        <f t="shared" si="17"/>
        <v>-3.5413478153542335</v>
      </c>
      <c r="U475" s="339"/>
      <c r="V475" s="204">
        <f t="shared" si="18"/>
        <v>97.688500000000005</v>
      </c>
      <c r="W475" s="205"/>
      <c r="X475" s="205"/>
      <c r="Y475" s="208">
        <f t="shared" si="19"/>
        <v>2311500</v>
      </c>
      <c r="Z475" s="209"/>
      <c r="AA475" s="209"/>
      <c r="AB475" s="209"/>
      <c r="AC475" s="208">
        <f t="shared" si="20"/>
        <v>-3586500</v>
      </c>
      <c r="AD475" s="209"/>
      <c r="AE475" s="209"/>
      <c r="AF475" s="209"/>
    </row>
    <row r="476" spans="1:38" s="20" customFormat="1" ht="30" customHeight="1">
      <c r="A476" s="436" t="s">
        <v>143</v>
      </c>
      <c r="B476" s="437"/>
      <c r="C476" s="437"/>
      <c r="D476" s="437"/>
      <c r="E476" s="438">
        <f>SUM(E466:I475)</f>
        <v>1685000000</v>
      </c>
      <c r="F476" s="439"/>
      <c r="G476" s="439"/>
      <c r="H476" s="439"/>
      <c r="I476" s="440"/>
      <c r="J476" s="438">
        <f>SUM(J466:N475)</f>
        <v>1529483730</v>
      </c>
      <c r="K476" s="439"/>
      <c r="L476" s="439"/>
      <c r="M476" s="439"/>
      <c r="N476" s="440"/>
      <c r="O476" s="438">
        <f>SUM(O466:S474)</f>
        <v>4789812314</v>
      </c>
      <c r="P476" s="439"/>
      <c r="Q476" s="439"/>
      <c r="R476" s="439"/>
      <c r="S476" s="440"/>
      <c r="T476" s="338">
        <f t="shared" si="17"/>
        <v>-68.067982005693267</v>
      </c>
      <c r="U476" s="339"/>
      <c r="V476" s="204">
        <f t="shared" si="18"/>
        <v>90.770547774480718</v>
      </c>
      <c r="W476" s="205"/>
      <c r="X476" s="205"/>
      <c r="Y476" s="208">
        <f t="shared" si="19"/>
        <v>155516270</v>
      </c>
      <c r="Z476" s="209"/>
      <c r="AA476" s="209"/>
      <c r="AB476" s="209"/>
      <c r="AC476" s="208">
        <f t="shared" si="20"/>
        <v>-3260328584</v>
      </c>
      <c r="AD476" s="209"/>
      <c r="AE476" s="209"/>
      <c r="AF476" s="209"/>
    </row>
    <row r="477" spans="1:38" s="20" customFormat="1" ht="17.25" customHeight="1">
      <c r="A477" s="18"/>
      <c r="B477" s="441"/>
      <c r="C477" s="441"/>
      <c r="D477" s="441"/>
      <c r="E477" s="441"/>
      <c r="F477" s="441"/>
      <c r="G477" s="441"/>
      <c r="H477" s="441"/>
      <c r="I477" s="441"/>
      <c r="J477" s="442"/>
      <c r="K477" s="442"/>
      <c r="L477" s="442"/>
      <c r="M477" s="442"/>
      <c r="N477" s="442"/>
      <c r="O477" s="442"/>
      <c r="P477" s="442"/>
      <c r="Q477" s="442"/>
      <c r="R477" s="442"/>
      <c r="S477" s="442"/>
      <c r="T477" s="443"/>
      <c r="U477" s="443"/>
      <c r="V477" s="27"/>
    </row>
    <row r="478" spans="1:38" s="20" customFormat="1" ht="17.25" customHeight="1">
      <c r="A478" s="18"/>
      <c r="B478" s="441"/>
      <c r="C478" s="441"/>
      <c r="D478" s="444">
        <v>1</v>
      </c>
      <c r="E478" s="445" t="s">
        <v>213</v>
      </c>
      <c r="F478" s="445"/>
      <c r="G478" s="445"/>
      <c r="H478" s="445"/>
      <c r="I478" s="445"/>
      <c r="J478" s="445"/>
      <c r="K478" s="445"/>
      <c r="L478" s="445"/>
      <c r="M478" s="445"/>
      <c r="N478" s="445"/>
      <c r="O478" s="445"/>
      <c r="P478" s="445"/>
      <c r="Q478" s="445"/>
      <c r="R478" s="445"/>
      <c r="S478" s="445"/>
      <c r="T478" s="445"/>
      <c r="U478" s="445"/>
      <c r="V478" s="27"/>
    </row>
    <row r="479" spans="1:38" s="20" customFormat="1" ht="75.75" customHeight="1">
      <c r="A479" s="18"/>
      <c r="B479" s="441"/>
      <c r="C479" s="441"/>
      <c r="D479" s="446"/>
      <c r="E479" s="428" t="str">
        <f>"Realisasi Belanja Modal Alat Bantu/besar darat TA "&amp;'[1]2.ISIAN DATA SKPD'!D11&amp;" sebesar Rp. "&amp;FIXED(J487)&amp;", atau mencapai sebesar "&amp;FIXED(V487)&amp;"% dari anggaran sebesar Rp. "&amp;FIXED(E487)&amp;", kurang dari anggaran sebesar Rp. "&amp;FIXED(Y487)&amp;".   Bila dibandingkan dengan realisasi TA "&amp;'[1]2.ISIAN DATA SKPD'!D12&amp;" turun sebesar Rp. "&amp;FIXED(AC487)&amp;" atau "&amp;FIXED(T487)&amp;"%."</f>
        <v>Realisasi Belanja Modal Alat Bantu/besar darat TA 2017 sebesar Rp. 0.00, atau mencapai sebesar 0.00% dari anggaran sebesar Rp. 0.00, kurang dari anggaran sebesar Rp. 0.00.   Bila dibandingkan dengan realisasi TA 2016 turun sebesar Rp. -3,838,209,782.00 atau -100.00%.</v>
      </c>
      <c r="F479" s="428"/>
      <c r="G479" s="428"/>
      <c r="H479" s="428"/>
      <c r="I479" s="428"/>
      <c r="J479" s="428"/>
      <c r="K479" s="428"/>
      <c r="L479" s="428"/>
      <c r="M479" s="428"/>
      <c r="N479" s="428"/>
      <c r="O479" s="428"/>
      <c r="P479" s="428"/>
      <c r="Q479" s="428"/>
      <c r="R479" s="428"/>
      <c r="S479" s="428"/>
      <c r="T479" s="428"/>
      <c r="U479" s="428"/>
      <c r="V479" s="27"/>
    </row>
    <row r="480" spans="1:38" s="20" customFormat="1" ht="33" customHeight="1">
      <c r="A480" s="18"/>
      <c r="B480" s="441"/>
      <c r="C480" s="441"/>
      <c r="D480" s="446"/>
      <c r="E480" s="428" t="s">
        <v>214</v>
      </c>
      <c r="F480" s="428"/>
      <c r="G480" s="428"/>
      <c r="H480" s="428"/>
      <c r="I480" s="428"/>
      <c r="J480" s="428"/>
      <c r="K480" s="428"/>
      <c r="L480" s="428"/>
      <c r="M480" s="428"/>
      <c r="N480" s="428"/>
      <c r="O480" s="428"/>
      <c r="P480" s="428"/>
      <c r="Q480" s="428"/>
      <c r="R480" s="428"/>
      <c r="S480" s="428"/>
      <c r="T480" s="428"/>
      <c r="U480" s="428"/>
      <c r="V480" s="27"/>
    </row>
    <row r="481" spans="1:32" s="20" customFormat="1" ht="9" customHeight="1">
      <c r="A481" s="18"/>
      <c r="B481" s="441"/>
      <c r="C481" s="441"/>
      <c r="D481" s="441"/>
      <c r="E481" s="429"/>
      <c r="F481" s="429"/>
      <c r="G481" s="429"/>
      <c r="H481" s="429"/>
      <c r="I481" s="429"/>
      <c r="J481" s="429"/>
      <c r="K481" s="429"/>
      <c r="L481" s="429"/>
      <c r="M481" s="429"/>
      <c r="N481" s="429"/>
      <c r="O481" s="429"/>
      <c r="P481" s="429"/>
      <c r="Q481" s="429"/>
      <c r="R481" s="429"/>
      <c r="S481" s="429"/>
      <c r="T481" s="429"/>
      <c r="U481" s="429"/>
      <c r="V481" s="27"/>
    </row>
    <row r="482" spans="1:32" s="20" customFormat="1" ht="33" customHeight="1">
      <c r="A482" s="174" t="s">
        <v>215</v>
      </c>
      <c r="B482" s="175"/>
      <c r="C482" s="175"/>
      <c r="D482" s="176"/>
      <c r="E482" s="387" t="s">
        <v>130</v>
      </c>
      <c r="F482" s="387"/>
      <c r="G482" s="387"/>
      <c r="H482" s="387"/>
      <c r="I482" s="387"/>
      <c r="J482" s="387" t="s">
        <v>216</v>
      </c>
      <c r="K482" s="387"/>
      <c r="L482" s="387"/>
      <c r="M482" s="387"/>
      <c r="N482" s="387"/>
      <c r="O482" s="387" t="s">
        <v>217</v>
      </c>
      <c r="P482" s="387"/>
      <c r="Q482" s="387"/>
      <c r="R482" s="387"/>
      <c r="S482" s="387"/>
      <c r="T482" s="408" t="s">
        <v>185</v>
      </c>
      <c r="U482" s="409"/>
      <c r="V482" s="431" t="s">
        <v>137</v>
      </c>
      <c r="W482" s="432"/>
      <c r="X482" s="432"/>
      <c r="Y482" s="433" t="s">
        <v>136</v>
      </c>
      <c r="Z482" s="209"/>
      <c r="AA482" s="209"/>
      <c r="AB482" s="209" t="s">
        <v>137</v>
      </c>
      <c r="AC482" s="447" t="s">
        <v>138</v>
      </c>
      <c r="AD482" s="448"/>
      <c r="AE482" s="448"/>
      <c r="AF482" s="449"/>
    </row>
    <row r="483" spans="1:32" s="20" customFormat="1" ht="15" customHeight="1">
      <c r="A483" s="231" t="s">
        <v>218</v>
      </c>
      <c r="B483" s="232"/>
      <c r="C483" s="232"/>
      <c r="D483" s="233"/>
      <c r="E483" s="450">
        <f>'[1]3.LRA'!D75</f>
        <v>0</v>
      </c>
      <c r="F483" s="114"/>
      <c r="G483" s="114"/>
      <c r="H483" s="114"/>
      <c r="I483" s="114"/>
      <c r="J483" s="419">
        <f>'[1]3.LRA'!E75</f>
        <v>0</v>
      </c>
      <c r="K483" s="420"/>
      <c r="L483" s="420"/>
      <c r="M483" s="420"/>
      <c r="N483" s="420"/>
      <c r="O483" s="419">
        <f>'[1]3.LRA'!I75</f>
        <v>3838209782</v>
      </c>
      <c r="P483" s="420"/>
      <c r="Q483" s="420"/>
      <c r="R483" s="420"/>
      <c r="S483" s="420"/>
      <c r="T483" s="338">
        <f>(J483-O483)/O483*100</f>
        <v>-100</v>
      </c>
      <c r="U483" s="339"/>
      <c r="V483" s="204" t="e">
        <f>(E483-J483)/J483*100</f>
        <v>#DIV/0!</v>
      </c>
      <c r="W483" s="205"/>
      <c r="X483" s="205"/>
      <c r="Y483" s="208">
        <f>E483-J483</f>
        <v>0</v>
      </c>
      <c r="Z483" s="209"/>
      <c r="AA483" s="209"/>
      <c r="AB483" s="209"/>
      <c r="AC483" s="451">
        <f>J483-O483</f>
        <v>-3838209782</v>
      </c>
      <c r="AD483" s="452"/>
      <c r="AE483" s="452"/>
      <c r="AF483" s="453"/>
    </row>
    <row r="484" spans="1:32" s="20" customFormat="1" ht="15" customHeight="1">
      <c r="A484" s="231" t="s">
        <v>219</v>
      </c>
      <c r="B484" s="232"/>
      <c r="C484" s="232"/>
      <c r="D484" s="233"/>
      <c r="E484" s="450">
        <v>0</v>
      </c>
      <c r="F484" s="114"/>
      <c r="G484" s="114"/>
      <c r="H484" s="114"/>
      <c r="I484" s="114"/>
      <c r="J484" s="419">
        <v>0</v>
      </c>
      <c r="K484" s="420"/>
      <c r="L484" s="420"/>
      <c r="M484" s="420"/>
      <c r="N484" s="420"/>
      <c r="O484" s="419">
        <v>0</v>
      </c>
      <c r="P484" s="420"/>
      <c r="Q484" s="420"/>
      <c r="R484" s="420"/>
      <c r="S484" s="420"/>
      <c r="T484" s="338"/>
      <c r="U484" s="339"/>
      <c r="V484" s="204" t="e">
        <f>(E484-J484)/J484*100</f>
        <v>#DIV/0!</v>
      </c>
      <c r="W484" s="205"/>
      <c r="X484" s="205"/>
      <c r="Y484" s="208">
        <f>E484-J484</f>
        <v>0</v>
      </c>
      <c r="Z484" s="209"/>
      <c r="AA484" s="209"/>
      <c r="AB484" s="209"/>
      <c r="AC484" s="451">
        <f>J484-O484</f>
        <v>0</v>
      </c>
      <c r="AD484" s="452"/>
      <c r="AE484" s="452"/>
      <c r="AF484" s="453"/>
    </row>
    <row r="485" spans="1:32" s="20" customFormat="1" ht="24.75" customHeight="1">
      <c r="A485" s="231" t="s">
        <v>220</v>
      </c>
      <c r="B485" s="232"/>
      <c r="C485" s="232"/>
      <c r="D485" s="233"/>
      <c r="E485" s="450">
        <v>0</v>
      </c>
      <c r="F485" s="114"/>
      <c r="G485" s="114"/>
      <c r="H485" s="114"/>
      <c r="I485" s="114"/>
      <c r="J485" s="419">
        <v>0</v>
      </c>
      <c r="K485" s="420"/>
      <c r="L485" s="420"/>
      <c r="M485" s="420"/>
      <c r="N485" s="420"/>
      <c r="O485" s="419">
        <v>0</v>
      </c>
      <c r="P485" s="420"/>
      <c r="Q485" s="420"/>
      <c r="R485" s="420"/>
      <c r="S485" s="420"/>
      <c r="T485" s="338"/>
      <c r="U485" s="339"/>
      <c r="V485" s="204" t="e">
        <f>(E485-J485)/J485*100</f>
        <v>#DIV/0!</v>
      </c>
      <c r="W485" s="205"/>
      <c r="X485" s="205"/>
      <c r="Y485" s="208">
        <f>E485-J485</f>
        <v>0</v>
      </c>
      <c r="Z485" s="209"/>
      <c r="AA485" s="209"/>
      <c r="AB485" s="209"/>
      <c r="AC485" s="451">
        <f>J485-O485</f>
        <v>0</v>
      </c>
      <c r="AD485" s="452"/>
      <c r="AE485" s="452"/>
      <c r="AF485" s="453"/>
    </row>
    <row r="486" spans="1:32" s="20" customFormat="1" ht="15" customHeight="1">
      <c r="A486" s="231" t="s">
        <v>221</v>
      </c>
      <c r="B486" s="232"/>
      <c r="C486" s="232"/>
      <c r="D486" s="233"/>
      <c r="E486" s="450">
        <v>0</v>
      </c>
      <c r="F486" s="114"/>
      <c r="G486" s="114"/>
      <c r="H486" s="114"/>
      <c r="I486" s="114"/>
      <c r="J486" s="419">
        <v>0</v>
      </c>
      <c r="K486" s="420"/>
      <c r="L486" s="420"/>
      <c r="M486" s="420"/>
      <c r="N486" s="420"/>
      <c r="O486" s="419">
        <v>0</v>
      </c>
      <c r="P486" s="420"/>
      <c r="Q486" s="420"/>
      <c r="R486" s="420"/>
      <c r="S486" s="420"/>
      <c r="T486" s="338"/>
      <c r="U486" s="339"/>
      <c r="V486" s="204" t="e">
        <f>(E486-J486)/J486*100</f>
        <v>#DIV/0!</v>
      </c>
      <c r="W486" s="205"/>
      <c r="X486" s="205"/>
      <c r="Y486" s="208">
        <f>E486-J486</f>
        <v>0</v>
      </c>
      <c r="Z486" s="209"/>
      <c r="AA486" s="209"/>
      <c r="AB486" s="209"/>
      <c r="AC486" s="451">
        <f>J486-O486</f>
        <v>0</v>
      </c>
      <c r="AD486" s="452"/>
      <c r="AE486" s="452"/>
      <c r="AF486" s="453"/>
    </row>
    <row r="487" spans="1:32" s="20" customFormat="1" ht="15" customHeight="1">
      <c r="A487" s="411" t="s">
        <v>143</v>
      </c>
      <c r="B487" s="454"/>
      <c r="C487" s="454"/>
      <c r="D487" s="455"/>
      <c r="E487" s="456">
        <f>SUM(E483:I486)</f>
        <v>0</v>
      </c>
      <c r="F487" s="457"/>
      <c r="G487" s="457"/>
      <c r="H487" s="457"/>
      <c r="I487" s="458"/>
      <c r="J487" s="438">
        <f>SUM(J483:N486)</f>
        <v>0</v>
      </c>
      <c r="K487" s="439"/>
      <c r="L487" s="439"/>
      <c r="M487" s="439"/>
      <c r="N487" s="440"/>
      <c r="O487" s="438">
        <f>SUM(O483:S486)</f>
        <v>3838209782</v>
      </c>
      <c r="P487" s="439"/>
      <c r="Q487" s="439"/>
      <c r="R487" s="439"/>
      <c r="S487" s="440"/>
      <c r="T487" s="338">
        <f>(J487-O487)/O487*100</f>
        <v>-100</v>
      </c>
      <c r="U487" s="339"/>
      <c r="V487" s="204">
        <v>0</v>
      </c>
      <c r="W487" s="205"/>
      <c r="X487" s="205"/>
      <c r="Y487" s="208">
        <f>E487-J487</f>
        <v>0</v>
      </c>
      <c r="Z487" s="209"/>
      <c r="AA487" s="209"/>
      <c r="AB487" s="209"/>
      <c r="AC487" s="451">
        <f>J487-O487</f>
        <v>-3838209782</v>
      </c>
      <c r="AD487" s="452"/>
      <c r="AE487" s="452"/>
      <c r="AF487" s="453"/>
    </row>
    <row r="488" spans="1:32" s="20" customFormat="1" ht="15" customHeight="1">
      <c r="A488" s="18"/>
      <c r="B488" s="441"/>
      <c r="C488" s="441"/>
      <c r="D488" s="444"/>
      <c r="E488" s="459"/>
      <c r="F488" s="459"/>
      <c r="G488" s="459"/>
      <c r="H488" s="459"/>
      <c r="I488" s="459"/>
      <c r="J488" s="459"/>
      <c r="K488" s="459"/>
      <c r="L488" s="459"/>
      <c r="M488" s="459"/>
      <c r="N488" s="459"/>
      <c r="O488" s="459"/>
      <c r="P488" s="459"/>
      <c r="Q488" s="459"/>
      <c r="R488" s="459"/>
      <c r="S488" s="459"/>
      <c r="T488" s="459"/>
      <c r="U488" s="459"/>
      <c r="V488" s="27"/>
    </row>
    <row r="489" spans="1:32" s="20" customFormat="1" ht="15" customHeight="1">
      <c r="A489" s="18"/>
      <c r="B489" s="441"/>
      <c r="C489" s="441"/>
      <c r="D489" s="444">
        <f>D478+1</f>
        <v>2</v>
      </c>
      <c r="E489" s="445" t="s">
        <v>222</v>
      </c>
      <c r="F489" s="445"/>
      <c r="G489" s="445"/>
      <c r="H489" s="445"/>
      <c r="I489" s="445"/>
      <c r="J489" s="445"/>
      <c r="K489" s="445"/>
      <c r="L489" s="445"/>
      <c r="M489" s="445"/>
      <c r="N489" s="445"/>
      <c r="O489" s="445"/>
      <c r="P489" s="445"/>
      <c r="Q489" s="445"/>
      <c r="R489" s="445"/>
      <c r="S489" s="445"/>
      <c r="T489" s="445"/>
      <c r="U489" s="445"/>
      <c r="V489" s="27"/>
    </row>
    <row r="490" spans="1:32" s="20" customFormat="1" ht="94.5" customHeight="1">
      <c r="A490" s="18"/>
      <c r="B490" s="441"/>
      <c r="C490" s="441"/>
      <c r="D490" s="446"/>
      <c r="E490" s="428" t="str">
        <f>"Realisasi Belanja Modal Alat angkutan TA "&amp;'[1]2.ISIAN DATA SKPD'!D11&amp;" sebesar Rp. "&amp;FIXED(J498)&amp;", atau mencapai sebesar "&amp;FIXED(V498)&amp;"% dari anggaran sebesar Rp. "&amp;FIXED(E498)&amp;", kurang dari anggaran sebesar Rp. "&amp;FIXED(Y498)&amp;".   Bila dibandingkan dengan realisasi TA "&amp;'[1]2.ISIAN DATA SKPD'!D12&amp;" naik sebesar Rp. "&amp;FIXED(AC498)&amp;" atau "&amp;FIXED(T498)&amp;"%."</f>
        <v>Realisasi Belanja Modal Alat angkutan TA 2017 sebesar Rp. 1,350,056,650.00, atau mencapai sebesar 90.00% dari anggaran sebesar Rp. 1,500,000,000.00, kurang dari anggaran sebesar Rp. 149,943,350.00.   Bila dibandingkan dengan realisasi TA 2016 naik sebesar Rp. 984,103,150.00 atau 268.91%.</v>
      </c>
      <c r="F490" s="428"/>
      <c r="G490" s="428"/>
      <c r="H490" s="428"/>
      <c r="I490" s="428"/>
      <c r="J490" s="428"/>
      <c r="K490" s="428"/>
      <c r="L490" s="428"/>
      <c r="M490" s="428"/>
      <c r="N490" s="428"/>
      <c r="O490" s="428"/>
      <c r="P490" s="428"/>
      <c r="Q490" s="428"/>
      <c r="R490" s="428"/>
      <c r="S490" s="428"/>
      <c r="T490" s="428"/>
      <c r="U490" s="428"/>
      <c r="V490" s="27"/>
    </row>
    <row r="491" spans="1:32" s="20" customFormat="1" ht="32.25" customHeight="1">
      <c r="A491" s="18"/>
      <c r="B491" s="441"/>
      <c r="C491" s="441"/>
      <c r="D491" s="446"/>
      <c r="E491" s="428" t="s">
        <v>223</v>
      </c>
      <c r="F491" s="428"/>
      <c r="G491" s="428"/>
      <c r="H491" s="428"/>
      <c r="I491" s="428"/>
      <c r="J491" s="428"/>
      <c r="K491" s="428"/>
      <c r="L491" s="428"/>
      <c r="M491" s="428"/>
      <c r="N491" s="428"/>
      <c r="O491" s="428"/>
      <c r="P491" s="428"/>
      <c r="Q491" s="428"/>
      <c r="R491" s="428"/>
      <c r="S491" s="428"/>
      <c r="T491" s="428"/>
      <c r="U491" s="428"/>
      <c r="V491" s="27"/>
    </row>
    <row r="492" spans="1:32" s="20" customFormat="1" ht="5.25" customHeight="1">
      <c r="A492" s="18"/>
      <c r="B492" s="441"/>
      <c r="C492" s="441"/>
      <c r="D492" s="441"/>
      <c r="E492" s="429"/>
      <c r="F492" s="429"/>
      <c r="G492" s="429"/>
      <c r="H492" s="429"/>
      <c r="I492" s="429"/>
      <c r="J492" s="429"/>
      <c r="K492" s="429"/>
      <c r="L492" s="429"/>
      <c r="M492" s="429"/>
      <c r="N492" s="429"/>
      <c r="O492" s="429"/>
      <c r="P492" s="429"/>
      <c r="Q492" s="429"/>
      <c r="R492" s="429"/>
      <c r="S492" s="429"/>
      <c r="T492" s="429"/>
      <c r="U492" s="429"/>
      <c r="V492" s="27"/>
    </row>
    <row r="493" spans="1:32" s="20" customFormat="1" ht="34.5" customHeight="1">
      <c r="A493" s="174" t="s">
        <v>224</v>
      </c>
      <c r="B493" s="175"/>
      <c r="C493" s="175"/>
      <c r="D493" s="176"/>
      <c r="E493" s="387" t="s">
        <v>130</v>
      </c>
      <c r="F493" s="387"/>
      <c r="G493" s="387"/>
      <c r="H493" s="387"/>
      <c r="I493" s="387"/>
      <c r="J493" s="387" t="s">
        <v>216</v>
      </c>
      <c r="K493" s="387"/>
      <c r="L493" s="387"/>
      <c r="M493" s="387"/>
      <c r="N493" s="387"/>
      <c r="O493" s="387" t="s">
        <v>217</v>
      </c>
      <c r="P493" s="387"/>
      <c r="Q493" s="387"/>
      <c r="R493" s="387"/>
      <c r="S493" s="387"/>
      <c r="T493" s="408" t="s">
        <v>185</v>
      </c>
      <c r="U493" s="409"/>
      <c r="V493" s="431" t="s">
        <v>137</v>
      </c>
      <c r="W493" s="432"/>
      <c r="X493" s="432"/>
      <c r="Y493" s="433" t="s">
        <v>136</v>
      </c>
      <c r="Z493" s="209"/>
      <c r="AA493" s="209"/>
      <c r="AB493" s="209" t="s">
        <v>137</v>
      </c>
      <c r="AC493" s="447" t="s">
        <v>138</v>
      </c>
      <c r="AD493" s="448"/>
      <c r="AE493" s="448"/>
      <c r="AF493" s="449"/>
    </row>
    <row r="494" spans="1:32" s="20" customFormat="1" ht="33" customHeight="1">
      <c r="A494" s="231" t="s">
        <v>225</v>
      </c>
      <c r="B494" s="232"/>
      <c r="C494" s="232"/>
      <c r="D494" s="233"/>
      <c r="E494" s="419">
        <f>'[1]3.LRA'!D76</f>
        <v>1500000000</v>
      </c>
      <c r="F494" s="420"/>
      <c r="G494" s="420"/>
      <c r="H494" s="420"/>
      <c r="I494" s="420"/>
      <c r="J494" s="419">
        <f>'[1]3.LRA'!E76</f>
        <v>1350056650</v>
      </c>
      <c r="K494" s="420"/>
      <c r="L494" s="420"/>
      <c r="M494" s="420"/>
      <c r="N494" s="420"/>
      <c r="O494" s="419">
        <f>'[1]3.LRA'!I76</f>
        <v>365953500</v>
      </c>
      <c r="P494" s="420"/>
      <c r="Q494" s="420"/>
      <c r="R494" s="420"/>
      <c r="S494" s="420"/>
      <c r="T494" s="338">
        <f>(J494-O494)/O494*100</f>
        <v>268.91480748237137</v>
      </c>
      <c r="U494" s="339"/>
      <c r="V494" s="204">
        <f>J494/E494*100</f>
        <v>90.003776666666667</v>
      </c>
      <c r="W494" s="205"/>
      <c r="X494" s="205"/>
      <c r="Y494" s="208">
        <f>E494-J494</f>
        <v>149943350</v>
      </c>
      <c r="Z494" s="209"/>
      <c r="AA494" s="209"/>
      <c r="AB494" s="209"/>
      <c r="AC494" s="451">
        <f>J494-O494</f>
        <v>984103150</v>
      </c>
      <c r="AD494" s="452"/>
      <c r="AE494" s="452"/>
      <c r="AF494" s="453"/>
    </row>
    <row r="495" spans="1:32" s="20" customFormat="1" ht="15" customHeight="1">
      <c r="A495" s="231" t="s">
        <v>219</v>
      </c>
      <c r="B495" s="232"/>
      <c r="C495" s="232"/>
      <c r="D495" s="233"/>
      <c r="E495" s="419">
        <v>0</v>
      </c>
      <c r="F495" s="420"/>
      <c r="G495" s="420"/>
      <c r="H495" s="420"/>
      <c r="I495" s="420"/>
      <c r="J495" s="419">
        <v>0</v>
      </c>
      <c r="K495" s="420"/>
      <c r="L495" s="420"/>
      <c r="M495" s="420"/>
      <c r="N495" s="420"/>
      <c r="O495" s="419">
        <v>0</v>
      </c>
      <c r="P495" s="420"/>
      <c r="Q495" s="420"/>
      <c r="R495" s="420"/>
      <c r="S495" s="420"/>
      <c r="T495" s="338"/>
      <c r="U495" s="339"/>
      <c r="V495" s="204" t="e">
        <f>J495/E495*100</f>
        <v>#DIV/0!</v>
      </c>
      <c r="W495" s="205"/>
      <c r="X495" s="205"/>
      <c r="Y495" s="208">
        <f>E495-J495</f>
        <v>0</v>
      </c>
      <c r="Z495" s="209"/>
      <c r="AA495" s="209"/>
      <c r="AB495" s="209"/>
      <c r="AC495" s="451">
        <f>J495-O495</f>
        <v>0</v>
      </c>
      <c r="AD495" s="452"/>
      <c r="AE495" s="452"/>
      <c r="AF495" s="453"/>
    </row>
    <row r="496" spans="1:32" s="20" customFormat="1" ht="27" customHeight="1">
      <c r="A496" s="231" t="s">
        <v>220</v>
      </c>
      <c r="B496" s="232"/>
      <c r="C496" s="232"/>
      <c r="D496" s="233"/>
      <c r="E496" s="419">
        <v>0</v>
      </c>
      <c r="F496" s="420"/>
      <c r="G496" s="420"/>
      <c r="H496" s="420"/>
      <c r="I496" s="420"/>
      <c r="J496" s="419">
        <v>0</v>
      </c>
      <c r="K496" s="420"/>
      <c r="L496" s="420"/>
      <c r="M496" s="420"/>
      <c r="N496" s="420"/>
      <c r="O496" s="419">
        <v>0</v>
      </c>
      <c r="P496" s="420"/>
      <c r="Q496" s="420"/>
      <c r="R496" s="420"/>
      <c r="S496" s="420"/>
      <c r="T496" s="338"/>
      <c r="U496" s="339"/>
      <c r="V496" s="204" t="e">
        <f>J496/E496*100</f>
        <v>#DIV/0!</v>
      </c>
      <c r="W496" s="205"/>
      <c r="X496" s="205"/>
      <c r="Y496" s="208">
        <f>E496-J496</f>
        <v>0</v>
      </c>
      <c r="Z496" s="209"/>
      <c r="AA496" s="209"/>
      <c r="AB496" s="209"/>
      <c r="AC496" s="451">
        <f>J496-O496</f>
        <v>0</v>
      </c>
      <c r="AD496" s="452"/>
      <c r="AE496" s="452"/>
      <c r="AF496" s="453"/>
    </row>
    <row r="497" spans="1:32" s="20" customFormat="1" ht="15" customHeight="1">
      <c r="A497" s="231" t="s">
        <v>221</v>
      </c>
      <c r="B497" s="232"/>
      <c r="C497" s="232"/>
      <c r="D497" s="233"/>
      <c r="E497" s="419">
        <v>0</v>
      </c>
      <c r="F497" s="420"/>
      <c r="G497" s="420"/>
      <c r="H497" s="420"/>
      <c r="I497" s="420"/>
      <c r="J497" s="419">
        <v>0</v>
      </c>
      <c r="K497" s="420"/>
      <c r="L497" s="420"/>
      <c r="M497" s="420"/>
      <c r="N497" s="420"/>
      <c r="O497" s="419">
        <v>0</v>
      </c>
      <c r="P497" s="420"/>
      <c r="Q497" s="420"/>
      <c r="R497" s="420"/>
      <c r="S497" s="420"/>
      <c r="T497" s="338"/>
      <c r="U497" s="339"/>
      <c r="V497" s="204" t="e">
        <f>J497/E497*100</f>
        <v>#DIV/0!</v>
      </c>
      <c r="W497" s="205"/>
      <c r="X497" s="205"/>
      <c r="Y497" s="208">
        <f>E497-J497</f>
        <v>0</v>
      </c>
      <c r="Z497" s="209"/>
      <c r="AA497" s="209"/>
      <c r="AB497" s="209"/>
      <c r="AC497" s="451">
        <f>J497-O497</f>
        <v>0</v>
      </c>
      <c r="AD497" s="452"/>
      <c r="AE497" s="452"/>
      <c r="AF497" s="453"/>
    </row>
    <row r="498" spans="1:32" s="20" customFormat="1" ht="27" customHeight="1">
      <c r="A498" s="411" t="s">
        <v>143</v>
      </c>
      <c r="B498" s="454"/>
      <c r="C498" s="454"/>
      <c r="D498" s="455"/>
      <c r="E498" s="438">
        <f>SUM(E494:I497)</f>
        <v>1500000000</v>
      </c>
      <c r="F498" s="439"/>
      <c r="G498" s="439"/>
      <c r="H498" s="439"/>
      <c r="I498" s="440"/>
      <c r="J498" s="438">
        <f>SUM(J494:N497)</f>
        <v>1350056650</v>
      </c>
      <c r="K498" s="439"/>
      <c r="L498" s="439"/>
      <c r="M498" s="439"/>
      <c r="N498" s="440"/>
      <c r="O498" s="438">
        <f>SUM(O494:S497)</f>
        <v>365953500</v>
      </c>
      <c r="P498" s="439"/>
      <c r="Q498" s="439"/>
      <c r="R498" s="439"/>
      <c r="S498" s="440"/>
      <c r="T498" s="338">
        <f>(J498-O498)/O498*100</f>
        <v>268.91480748237137</v>
      </c>
      <c r="U498" s="339"/>
      <c r="V498" s="204">
        <f>J498/E498*100</f>
        <v>90.003776666666667</v>
      </c>
      <c r="W498" s="205"/>
      <c r="X498" s="205"/>
      <c r="Y498" s="208">
        <f>E498-J498</f>
        <v>149943350</v>
      </c>
      <c r="Z498" s="209"/>
      <c r="AA498" s="209"/>
      <c r="AB498" s="209"/>
      <c r="AC498" s="451">
        <f>J498-O498</f>
        <v>984103150</v>
      </c>
      <c r="AD498" s="452"/>
      <c r="AE498" s="452"/>
      <c r="AF498" s="453"/>
    </row>
    <row r="499" spans="1:32" s="20" customFormat="1" ht="15" customHeight="1">
      <c r="A499" s="18"/>
      <c r="B499" s="441"/>
      <c r="C499" s="441"/>
      <c r="D499" s="444"/>
      <c r="E499" s="459"/>
      <c r="F499" s="459"/>
      <c r="G499" s="459"/>
      <c r="H499" s="459"/>
      <c r="I499" s="459"/>
      <c r="J499" s="459"/>
      <c r="K499" s="459"/>
      <c r="L499" s="459"/>
      <c r="M499" s="459"/>
      <c r="N499" s="459"/>
      <c r="O499" s="459"/>
      <c r="P499" s="459"/>
      <c r="Q499" s="459"/>
      <c r="R499" s="459"/>
      <c r="S499" s="459"/>
      <c r="T499" s="459"/>
      <c r="U499" s="459"/>
      <c r="V499" s="27"/>
    </row>
    <row r="500" spans="1:32" s="20" customFormat="1" ht="15" customHeight="1">
      <c r="A500" s="18"/>
      <c r="B500" s="441"/>
      <c r="C500" s="441"/>
      <c r="D500" s="444">
        <f>D489+1</f>
        <v>3</v>
      </c>
      <c r="E500" s="445" t="s">
        <v>226</v>
      </c>
      <c r="F500" s="445"/>
      <c r="G500" s="445"/>
      <c r="H500" s="445"/>
      <c r="I500" s="445"/>
      <c r="J500" s="445"/>
      <c r="K500" s="445"/>
      <c r="L500" s="445"/>
      <c r="M500" s="445"/>
      <c r="N500" s="445"/>
      <c r="O500" s="445"/>
      <c r="P500" s="445"/>
      <c r="Q500" s="445"/>
      <c r="R500" s="445"/>
      <c r="S500" s="445"/>
      <c r="T500" s="445"/>
      <c r="U500" s="445"/>
      <c r="V500" s="27"/>
    </row>
    <row r="501" spans="1:32" s="20" customFormat="1" ht="79.5" customHeight="1">
      <c r="A501" s="18"/>
      <c r="B501" s="441"/>
      <c r="C501" s="441"/>
      <c r="D501" s="446"/>
      <c r="E501" s="428" t="str">
        <f>"Realisasi Belanja Modal Alat Rumah Tangga TA "&amp;'[1]2.ISIAN DATA SKPD'!D11&amp;" sebesar Rp. "&amp;FIXED(J509)&amp;", atau mencapai sebesar "&amp;FIXED(V509)&amp;"% dari anggaran sebesar Rp. "&amp;FIXED(E509)&amp;", kurang dari anggaran sebesar Rp. "&amp;FIXED(Y509)&amp;".   Bila dibandingkan dengan realisasi TA "&amp;'[1]2.ISIAN DATA SKPD'!D12&amp;" turun sebesar Rp. "&amp;FIXED(AC509)&amp;" atau "&amp;FIXED(T509)&amp;"%."</f>
        <v>Realisasi Belanja Modal Alat Rumah Tangga TA 2017 sebesar Rp. 0.00, atau mencapai sebesar 0.00% dari anggaran sebesar Rp. 0.00, kurang dari anggaran sebesar Rp. 0.00.   Bila dibandingkan dengan realisasi TA 2016 turun sebesar Rp. -167,435,000.00 atau -100.00%.</v>
      </c>
      <c r="F501" s="428"/>
      <c r="G501" s="428"/>
      <c r="H501" s="428"/>
      <c r="I501" s="428"/>
      <c r="J501" s="428"/>
      <c r="K501" s="428"/>
      <c r="L501" s="428"/>
      <c r="M501" s="428"/>
      <c r="N501" s="428"/>
      <c r="O501" s="428"/>
      <c r="P501" s="428"/>
      <c r="Q501" s="428"/>
      <c r="R501" s="428"/>
      <c r="S501" s="428"/>
      <c r="T501" s="428"/>
      <c r="U501" s="428"/>
      <c r="V501" s="27"/>
    </row>
    <row r="502" spans="1:32" s="20" customFormat="1" ht="28.5" customHeight="1">
      <c r="A502" s="18"/>
      <c r="B502" s="441"/>
      <c r="C502" s="441"/>
      <c r="D502" s="446"/>
      <c r="E502" s="428" t="s">
        <v>227</v>
      </c>
      <c r="F502" s="428"/>
      <c r="G502" s="428"/>
      <c r="H502" s="428"/>
      <c r="I502" s="428"/>
      <c r="J502" s="428"/>
      <c r="K502" s="428"/>
      <c r="L502" s="428"/>
      <c r="M502" s="428"/>
      <c r="N502" s="428"/>
      <c r="O502" s="428"/>
      <c r="P502" s="428"/>
      <c r="Q502" s="428"/>
      <c r="R502" s="428"/>
      <c r="S502" s="428"/>
      <c r="T502" s="428"/>
      <c r="U502" s="428"/>
      <c r="V502" s="27"/>
    </row>
    <row r="503" spans="1:32" s="20" customFormat="1" ht="12" customHeight="1">
      <c r="A503" s="18"/>
      <c r="B503" s="441"/>
      <c r="C503" s="441"/>
      <c r="D503" s="441"/>
      <c r="E503" s="429"/>
      <c r="F503" s="429"/>
      <c r="G503" s="429"/>
      <c r="H503" s="429"/>
      <c r="I503" s="429"/>
      <c r="J503" s="429"/>
      <c r="K503" s="429"/>
      <c r="L503" s="429"/>
      <c r="M503" s="429"/>
      <c r="N503" s="429"/>
      <c r="O503" s="429"/>
      <c r="P503" s="429"/>
      <c r="Q503" s="429"/>
      <c r="R503" s="429"/>
      <c r="S503" s="429"/>
      <c r="T503" s="429"/>
      <c r="U503" s="429"/>
      <c r="V503" s="27"/>
    </row>
    <row r="504" spans="1:32" s="20" customFormat="1" ht="35.25" customHeight="1">
      <c r="A504" s="174" t="s">
        <v>228</v>
      </c>
      <c r="B504" s="175"/>
      <c r="C504" s="175"/>
      <c r="D504" s="176"/>
      <c r="E504" s="387" t="s">
        <v>130</v>
      </c>
      <c r="F504" s="387"/>
      <c r="G504" s="387"/>
      <c r="H504" s="387"/>
      <c r="I504" s="387"/>
      <c r="J504" s="387" t="s">
        <v>216</v>
      </c>
      <c r="K504" s="387"/>
      <c r="L504" s="387"/>
      <c r="M504" s="387"/>
      <c r="N504" s="387"/>
      <c r="O504" s="387" t="s">
        <v>217</v>
      </c>
      <c r="P504" s="387"/>
      <c r="Q504" s="387"/>
      <c r="R504" s="387"/>
      <c r="S504" s="387"/>
      <c r="T504" s="408" t="s">
        <v>185</v>
      </c>
      <c r="U504" s="409"/>
      <c r="V504" s="431" t="s">
        <v>137</v>
      </c>
      <c r="W504" s="432"/>
      <c r="X504" s="432"/>
      <c r="Y504" s="433" t="s">
        <v>136</v>
      </c>
      <c r="Z504" s="209"/>
      <c r="AA504" s="209"/>
      <c r="AB504" s="209" t="s">
        <v>137</v>
      </c>
      <c r="AC504" s="447" t="s">
        <v>138</v>
      </c>
      <c r="AD504" s="448"/>
      <c r="AE504" s="448"/>
      <c r="AF504" s="449"/>
    </row>
    <row r="505" spans="1:32" s="20" customFormat="1" ht="15" customHeight="1">
      <c r="A505" s="231" t="s">
        <v>229</v>
      </c>
      <c r="B505" s="232"/>
      <c r="C505" s="232"/>
      <c r="D505" s="233"/>
      <c r="E505" s="450">
        <f>'[1]3.LRA'!D81</f>
        <v>0</v>
      </c>
      <c r="F505" s="114"/>
      <c r="G505" s="114"/>
      <c r="H505" s="114"/>
      <c r="I505" s="114"/>
      <c r="J505" s="450">
        <f>'[1]3.LRA'!E81</f>
        <v>0</v>
      </c>
      <c r="K505" s="114"/>
      <c r="L505" s="114"/>
      <c r="M505" s="114"/>
      <c r="N505" s="114"/>
      <c r="O505" s="450">
        <f>'[1]3.LRA'!I77</f>
        <v>167435000</v>
      </c>
      <c r="P505" s="114"/>
      <c r="Q505" s="114"/>
      <c r="R505" s="114"/>
      <c r="S505" s="114"/>
      <c r="T505" s="338">
        <f>(J505-O505)/O505*100</f>
        <v>-100</v>
      </c>
      <c r="U505" s="339"/>
      <c r="V505" s="204" t="e">
        <f>J505/E505*100</f>
        <v>#DIV/0!</v>
      </c>
      <c r="W505" s="205"/>
      <c r="X505" s="205"/>
      <c r="Y505" s="208">
        <f>E505-J505</f>
        <v>0</v>
      </c>
      <c r="Z505" s="209"/>
      <c r="AA505" s="209"/>
      <c r="AB505" s="209"/>
      <c r="AC505" s="451">
        <f>J505-O505</f>
        <v>-167435000</v>
      </c>
      <c r="AD505" s="452"/>
      <c r="AE505" s="452"/>
      <c r="AF505" s="453"/>
    </row>
    <row r="506" spans="1:32" s="20" customFormat="1" ht="15" customHeight="1">
      <c r="A506" s="231" t="s">
        <v>219</v>
      </c>
      <c r="B506" s="232"/>
      <c r="C506" s="232"/>
      <c r="D506" s="233"/>
      <c r="E506" s="450">
        <v>0</v>
      </c>
      <c r="F506" s="114"/>
      <c r="G506" s="114"/>
      <c r="H506" s="114"/>
      <c r="I506" s="114"/>
      <c r="J506" s="450">
        <v>0</v>
      </c>
      <c r="K506" s="114"/>
      <c r="L506" s="114"/>
      <c r="M506" s="114"/>
      <c r="N506" s="114"/>
      <c r="O506" s="450">
        <v>0</v>
      </c>
      <c r="P506" s="114"/>
      <c r="Q506" s="114"/>
      <c r="R506" s="114"/>
      <c r="S506" s="114"/>
      <c r="T506" s="338"/>
      <c r="U506" s="339"/>
      <c r="V506" s="204" t="e">
        <f>J506/E506*100</f>
        <v>#DIV/0!</v>
      </c>
      <c r="W506" s="205"/>
      <c r="X506" s="205"/>
      <c r="Y506" s="208">
        <f>E506-J506</f>
        <v>0</v>
      </c>
      <c r="Z506" s="209"/>
      <c r="AA506" s="209"/>
      <c r="AB506" s="209"/>
      <c r="AC506" s="451">
        <f>J506-O506</f>
        <v>0</v>
      </c>
      <c r="AD506" s="452"/>
      <c r="AE506" s="452"/>
      <c r="AF506" s="453"/>
    </row>
    <row r="507" spans="1:32" s="20" customFormat="1" ht="24.75" customHeight="1">
      <c r="A507" s="231" t="s">
        <v>220</v>
      </c>
      <c r="B507" s="232"/>
      <c r="C507" s="232"/>
      <c r="D507" s="233"/>
      <c r="E507" s="450">
        <v>0</v>
      </c>
      <c r="F507" s="114"/>
      <c r="G507" s="114"/>
      <c r="H507" s="114"/>
      <c r="I507" s="114"/>
      <c r="J507" s="450">
        <v>0</v>
      </c>
      <c r="K507" s="114"/>
      <c r="L507" s="114"/>
      <c r="M507" s="114"/>
      <c r="N507" s="114"/>
      <c r="O507" s="450">
        <v>0</v>
      </c>
      <c r="P507" s="114"/>
      <c r="Q507" s="114"/>
      <c r="R507" s="114"/>
      <c r="S507" s="114"/>
      <c r="T507" s="338"/>
      <c r="U507" s="339"/>
      <c r="V507" s="204" t="e">
        <f>J507/E507*100</f>
        <v>#DIV/0!</v>
      </c>
      <c r="W507" s="205"/>
      <c r="X507" s="205"/>
      <c r="Y507" s="208">
        <f>E507-J507</f>
        <v>0</v>
      </c>
      <c r="Z507" s="209"/>
      <c r="AA507" s="209"/>
      <c r="AB507" s="209"/>
      <c r="AC507" s="451">
        <f>J507-O507</f>
        <v>0</v>
      </c>
      <c r="AD507" s="452"/>
      <c r="AE507" s="452"/>
      <c r="AF507" s="453"/>
    </row>
    <row r="508" spans="1:32" s="20" customFormat="1" ht="15" customHeight="1">
      <c r="A508" s="231" t="s">
        <v>221</v>
      </c>
      <c r="B508" s="232"/>
      <c r="C508" s="232"/>
      <c r="D508" s="233"/>
      <c r="E508" s="450">
        <v>0</v>
      </c>
      <c r="F508" s="114"/>
      <c r="G508" s="114"/>
      <c r="H508" s="114"/>
      <c r="I508" s="114"/>
      <c r="J508" s="450">
        <v>0</v>
      </c>
      <c r="K508" s="114"/>
      <c r="L508" s="114"/>
      <c r="M508" s="114"/>
      <c r="N508" s="114"/>
      <c r="O508" s="450">
        <v>0</v>
      </c>
      <c r="P508" s="114"/>
      <c r="Q508" s="114"/>
      <c r="R508" s="114"/>
      <c r="S508" s="114"/>
      <c r="T508" s="338"/>
      <c r="U508" s="339"/>
      <c r="V508" s="204" t="e">
        <f>J508/E508*100</f>
        <v>#DIV/0!</v>
      </c>
      <c r="W508" s="205"/>
      <c r="X508" s="205"/>
      <c r="Y508" s="208">
        <f>E508-J508</f>
        <v>0</v>
      </c>
      <c r="Z508" s="209"/>
      <c r="AA508" s="209"/>
      <c r="AB508" s="209"/>
      <c r="AC508" s="451">
        <f>J508-O508</f>
        <v>0</v>
      </c>
      <c r="AD508" s="452"/>
      <c r="AE508" s="452"/>
      <c r="AF508" s="453"/>
    </row>
    <row r="509" spans="1:32" s="20" customFormat="1" ht="15" customHeight="1">
      <c r="A509" s="411" t="s">
        <v>143</v>
      </c>
      <c r="B509" s="454"/>
      <c r="C509" s="454"/>
      <c r="D509" s="455"/>
      <c r="E509" s="456">
        <f>SUM(E505:I508)</f>
        <v>0</v>
      </c>
      <c r="F509" s="457"/>
      <c r="G509" s="457"/>
      <c r="H509" s="457"/>
      <c r="I509" s="458"/>
      <c r="J509" s="456">
        <f>SUM(J505:N508)</f>
        <v>0</v>
      </c>
      <c r="K509" s="457"/>
      <c r="L509" s="457"/>
      <c r="M509" s="457"/>
      <c r="N509" s="458"/>
      <c r="O509" s="456">
        <f>SUM(O505:S508)</f>
        <v>167435000</v>
      </c>
      <c r="P509" s="457"/>
      <c r="Q509" s="457"/>
      <c r="R509" s="457"/>
      <c r="S509" s="458"/>
      <c r="T509" s="338">
        <f>(J509-O509)/O509*100</f>
        <v>-100</v>
      </c>
      <c r="U509" s="339"/>
      <c r="V509" s="204">
        <v>0</v>
      </c>
      <c r="W509" s="205"/>
      <c r="X509" s="205"/>
      <c r="Y509" s="208">
        <f>E509-J509</f>
        <v>0</v>
      </c>
      <c r="Z509" s="209"/>
      <c r="AA509" s="209"/>
      <c r="AB509" s="209"/>
      <c r="AC509" s="451">
        <f>J509-O509</f>
        <v>-167435000</v>
      </c>
      <c r="AD509" s="452"/>
      <c r="AE509" s="452"/>
      <c r="AF509" s="453"/>
    </row>
    <row r="510" spans="1:32" s="20" customFormat="1" ht="15" customHeight="1">
      <c r="A510" s="18"/>
      <c r="B510" s="441"/>
      <c r="C510" s="441"/>
      <c r="D510" s="444"/>
      <c r="E510" s="459"/>
      <c r="F510" s="459"/>
      <c r="G510" s="459"/>
      <c r="H510" s="459"/>
      <c r="I510" s="459"/>
      <c r="J510" s="459"/>
      <c r="K510" s="459"/>
      <c r="L510" s="459"/>
      <c r="M510" s="459"/>
      <c r="N510" s="459"/>
      <c r="O510" s="459"/>
      <c r="P510" s="459"/>
      <c r="Q510" s="459"/>
      <c r="R510" s="459"/>
      <c r="S510" s="459"/>
      <c r="T510" s="459"/>
      <c r="U510" s="459"/>
      <c r="V510" s="27"/>
    </row>
    <row r="511" spans="1:32" s="20" customFormat="1" ht="15" customHeight="1">
      <c r="A511" s="18"/>
      <c r="B511" s="441"/>
      <c r="C511" s="441"/>
      <c r="D511" s="444">
        <f>D500+1</f>
        <v>4</v>
      </c>
      <c r="E511" s="445" t="s">
        <v>230</v>
      </c>
      <c r="F511" s="445"/>
      <c r="G511" s="445"/>
      <c r="H511" s="445"/>
      <c r="I511" s="445"/>
      <c r="J511" s="445"/>
      <c r="K511" s="445"/>
      <c r="L511" s="445"/>
      <c r="M511" s="445"/>
      <c r="N511" s="445"/>
      <c r="O511" s="445"/>
      <c r="P511" s="445"/>
      <c r="Q511" s="445"/>
      <c r="R511" s="445"/>
      <c r="S511" s="445"/>
      <c r="T511" s="445"/>
      <c r="U511" s="445"/>
      <c r="V511" s="27"/>
    </row>
    <row r="512" spans="1:32" s="20" customFormat="1" ht="78" customHeight="1">
      <c r="A512" s="18"/>
      <c r="B512" s="441"/>
      <c r="C512" s="441"/>
      <c r="D512" s="446"/>
      <c r="E512" s="428" t="str">
        <f>"Realisasi Belanja Modal Alat Rumah Tangga TA "&amp;'[1]2.ISIAN DATA SKPD'!D11&amp;" sebesar Rp. "&amp;FIXED(J520)&amp;", atau mencapai sebesar "&amp;FIXED(V520)&amp;"% dari anggaran sebesar Rp. "&amp;FIXED(E520)&amp;", kurang dari anggaran sebesar Rp. "&amp;FIXED(Y520)&amp;".   Bila dibandingkan dengan realisasi TA "&amp;'[1]2.ISIAN DATA SKPD'!D12&amp;" turun sebesar Rp. "&amp;FIXED(AC520)&amp;" atau "&amp;FIXED(T520)&amp;"%."</f>
        <v>Realisasi Belanja Modal Alat Rumah Tangga TA 2017 sebesar Rp. 24,427,500.00, atau mencapai sebesar 97.71% dari anggaran sebesar Rp. 25,000,000.00, kurang dari anggaran sebesar Rp. 572,500.00.   Bila dibandingkan dengan realisasi TA 2016 turun sebesar Rp. -114,974,000.00 atau -82.48%.</v>
      </c>
      <c r="F512" s="428"/>
      <c r="G512" s="428"/>
      <c r="H512" s="428"/>
      <c r="I512" s="428"/>
      <c r="J512" s="428"/>
      <c r="K512" s="428"/>
      <c r="L512" s="428"/>
      <c r="M512" s="428"/>
      <c r="N512" s="428"/>
      <c r="O512" s="428"/>
      <c r="P512" s="428"/>
      <c r="Q512" s="428"/>
      <c r="R512" s="428"/>
      <c r="S512" s="428"/>
      <c r="T512" s="428"/>
      <c r="U512" s="428"/>
      <c r="V512" s="27"/>
    </row>
    <row r="513" spans="1:32" s="20" customFormat="1" ht="33" customHeight="1">
      <c r="A513" s="18"/>
      <c r="B513" s="441"/>
      <c r="C513" s="441"/>
      <c r="D513" s="446"/>
      <c r="E513" s="428" t="s">
        <v>231</v>
      </c>
      <c r="F513" s="428"/>
      <c r="G513" s="428"/>
      <c r="H513" s="428"/>
      <c r="I513" s="428"/>
      <c r="J513" s="428"/>
      <c r="K513" s="428"/>
      <c r="L513" s="428"/>
      <c r="M513" s="428"/>
      <c r="N513" s="428"/>
      <c r="O513" s="428"/>
      <c r="P513" s="428"/>
      <c r="Q513" s="428"/>
      <c r="R513" s="428"/>
      <c r="S513" s="428"/>
      <c r="T513" s="428"/>
      <c r="U513" s="428"/>
      <c r="V513" s="27"/>
    </row>
    <row r="514" spans="1:32" s="20" customFormat="1" ht="22.5" customHeight="1">
      <c r="A514" s="18"/>
      <c r="B514" s="441"/>
      <c r="C514" s="441"/>
      <c r="D514" s="441"/>
      <c r="E514" s="429"/>
      <c r="F514" s="429"/>
      <c r="G514" s="429"/>
      <c r="H514" s="429"/>
      <c r="I514" s="429"/>
      <c r="J514" s="429"/>
      <c r="K514" s="429"/>
      <c r="L514" s="429"/>
      <c r="M514" s="429"/>
      <c r="N514" s="429"/>
      <c r="O514" s="429"/>
      <c r="P514" s="429"/>
      <c r="Q514" s="429"/>
      <c r="R514" s="429"/>
      <c r="S514" s="429"/>
      <c r="T514" s="429"/>
      <c r="U514" s="429"/>
      <c r="V514" s="27"/>
    </row>
    <row r="515" spans="1:32" s="20" customFormat="1" ht="32.25" customHeight="1">
      <c r="A515" s="174" t="s">
        <v>232</v>
      </c>
      <c r="B515" s="175"/>
      <c r="C515" s="175"/>
      <c r="D515" s="176"/>
      <c r="E515" s="387" t="str">
        <f>E465</f>
        <v>Anggaran</v>
      </c>
      <c r="F515" s="387"/>
      <c r="G515" s="387"/>
      <c r="H515" s="387"/>
      <c r="I515" s="387"/>
      <c r="J515" s="387" t="str">
        <f>J465</f>
        <v>Realisasi                      TA 2017</v>
      </c>
      <c r="K515" s="387"/>
      <c r="L515" s="387"/>
      <c r="M515" s="387"/>
      <c r="N515" s="387"/>
      <c r="O515" s="387" t="str">
        <f>O465</f>
        <v>Realisasi                   TA 2016</v>
      </c>
      <c r="P515" s="387"/>
      <c r="Q515" s="387"/>
      <c r="R515" s="387"/>
      <c r="S515" s="387"/>
      <c r="T515" s="408" t="s">
        <v>185</v>
      </c>
      <c r="U515" s="409"/>
      <c r="V515" s="431" t="s">
        <v>137</v>
      </c>
      <c r="W515" s="432"/>
      <c r="X515" s="432"/>
      <c r="Y515" s="433" t="s">
        <v>136</v>
      </c>
      <c r="Z515" s="209"/>
      <c r="AA515" s="209"/>
      <c r="AB515" s="209" t="s">
        <v>137</v>
      </c>
      <c r="AC515" s="447" t="s">
        <v>138</v>
      </c>
      <c r="AD515" s="448"/>
      <c r="AE515" s="448"/>
      <c r="AF515" s="449"/>
    </row>
    <row r="516" spans="1:32" s="20" customFormat="1" ht="31.5" customHeight="1">
      <c r="A516" s="231" t="s">
        <v>229</v>
      </c>
      <c r="B516" s="232"/>
      <c r="C516" s="232"/>
      <c r="D516" s="233"/>
      <c r="E516" s="450">
        <f>'[1]3.LRA'!D78</f>
        <v>25000000</v>
      </c>
      <c r="F516" s="114"/>
      <c r="G516" s="114"/>
      <c r="H516" s="114"/>
      <c r="I516" s="114"/>
      <c r="J516" s="450">
        <f>'[1]3.LRA'!E78</f>
        <v>24427500</v>
      </c>
      <c r="K516" s="114"/>
      <c r="L516" s="114"/>
      <c r="M516" s="114"/>
      <c r="N516" s="114"/>
      <c r="O516" s="450">
        <f>'[1]3.LRA'!I78</f>
        <v>139401500</v>
      </c>
      <c r="P516" s="114"/>
      <c r="Q516" s="114"/>
      <c r="R516" s="114"/>
      <c r="S516" s="114"/>
      <c r="T516" s="338">
        <f>(J516-O516)/O516*100</f>
        <v>-82.47687435214111</v>
      </c>
      <c r="U516" s="339"/>
      <c r="V516" s="204">
        <f>J516/E516*100</f>
        <v>97.71</v>
      </c>
      <c r="W516" s="205"/>
      <c r="X516" s="205"/>
      <c r="Y516" s="208">
        <f>E516-J516</f>
        <v>572500</v>
      </c>
      <c r="Z516" s="209"/>
      <c r="AA516" s="209"/>
      <c r="AB516" s="209"/>
      <c r="AC516" s="451">
        <f>J516-O516</f>
        <v>-114974000</v>
      </c>
      <c r="AD516" s="452"/>
      <c r="AE516" s="452"/>
      <c r="AF516" s="453"/>
    </row>
    <row r="517" spans="1:32" s="20" customFormat="1" ht="18" customHeight="1">
      <c r="A517" s="231" t="s">
        <v>219</v>
      </c>
      <c r="B517" s="232"/>
      <c r="C517" s="232"/>
      <c r="D517" s="233"/>
      <c r="E517" s="450">
        <v>0</v>
      </c>
      <c r="F517" s="114"/>
      <c r="G517" s="114"/>
      <c r="H517" s="114"/>
      <c r="I517" s="114"/>
      <c r="J517" s="450">
        <v>0</v>
      </c>
      <c r="K517" s="114"/>
      <c r="L517" s="114"/>
      <c r="M517" s="114"/>
      <c r="N517" s="114"/>
      <c r="O517" s="450">
        <v>0</v>
      </c>
      <c r="P517" s="114"/>
      <c r="Q517" s="114"/>
      <c r="R517" s="114"/>
      <c r="S517" s="114"/>
      <c r="T517" s="338"/>
      <c r="U517" s="339"/>
      <c r="V517" s="204" t="e">
        <f>J517/E517*100</f>
        <v>#DIV/0!</v>
      </c>
      <c r="W517" s="205"/>
      <c r="X517" s="205"/>
      <c r="Y517" s="208">
        <f>E517-J517</f>
        <v>0</v>
      </c>
      <c r="Z517" s="209"/>
      <c r="AA517" s="209"/>
      <c r="AB517" s="209"/>
      <c r="AC517" s="451">
        <f>J517-O517</f>
        <v>0</v>
      </c>
      <c r="AD517" s="452"/>
      <c r="AE517" s="452"/>
      <c r="AF517" s="453"/>
    </row>
    <row r="518" spans="1:32" s="20" customFormat="1" ht="30" customHeight="1">
      <c r="A518" s="231" t="s">
        <v>220</v>
      </c>
      <c r="B518" s="232"/>
      <c r="C518" s="232"/>
      <c r="D518" s="233"/>
      <c r="E518" s="450">
        <v>0</v>
      </c>
      <c r="F518" s="114"/>
      <c r="G518" s="114"/>
      <c r="H518" s="114"/>
      <c r="I518" s="114"/>
      <c r="J518" s="450">
        <v>0</v>
      </c>
      <c r="K518" s="114"/>
      <c r="L518" s="114"/>
      <c r="M518" s="114"/>
      <c r="N518" s="114"/>
      <c r="O518" s="450">
        <v>0</v>
      </c>
      <c r="P518" s="114"/>
      <c r="Q518" s="114"/>
      <c r="R518" s="114"/>
      <c r="S518" s="114"/>
      <c r="T518" s="338"/>
      <c r="U518" s="339"/>
      <c r="V518" s="204" t="e">
        <f>J518/E518*100</f>
        <v>#DIV/0!</v>
      </c>
      <c r="W518" s="205"/>
      <c r="X518" s="205"/>
      <c r="Y518" s="208">
        <f>E518-J518</f>
        <v>0</v>
      </c>
      <c r="Z518" s="209"/>
      <c r="AA518" s="209"/>
      <c r="AB518" s="209"/>
      <c r="AC518" s="451">
        <f>J518-O518</f>
        <v>0</v>
      </c>
      <c r="AD518" s="452"/>
      <c r="AE518" s="452"/>
      <c r="AF518" s="453"/>
    </row>
    <row r="519" spans="1:32" s="20" customFormat="1" ht="15" customHeight="1">
      <c r="A519" s="231" t="s">
        <v>221</v>
      </c>
      <c r="B519" s="232"/>
      <c r="C519" s="232"/>
      <c r="D519" s="233"/>
      <c r="E519" s="450">
        <v>0</v>
      </c>
      <c r="F519" s="114"/>
      <c r="G519" s="114"/>
      <c r="H519" s="114"/>
      <c r="I519" s="114"/>
      <c r="J519" s="450">
        <v>0</v>
      </c>
      <c r="K519" s="114"/>
      <c r="L519" s="114"/>
      <c r="M519" s="114"/>
      <c r="N519" s="114"/>
      <c r="O519" s="450">
        <v>0</v>
      </c>
      <c r="P519" s="114"/>
      <c r="Q519" s="114"/>
      <c r="R519" s="114"/>
      <c r="S519" s="114"/>
      <c r="T519" s="338"/>
      <c r="U519" s="339"/>
      <c r="V519" s="204" t="e">
        <f>J519/E519*100</f>
        <v>#DIV/0!</v>
      </c>
      <c r="W519" s="205"/>
      <c r="X519" s="205"/>
      <c r="Y519" s="208">
        <f>E519-J519</f>
        <v>0</v>
      </c>
      <c r="Z519" s="209"/>
      <c r="AA519" s="209"/>
      <c r="AB519" s="209"/>
      <c r="AC519" s="451">
        <f>J519-O519</f>
        <v>0</v>
      </c>
      <c r="AD519" s="452"/>
      <c r="AE519" s="452"/>
      <c r="AF519" s="453"/>
    </row>
    <row r="520" spans="1:32" s="20" customFormat="1" ht="15" customHeight="1">
      <c r="A520" s="411" t="s">
        <v>143</v>
      </c>
      <c r="B520" s="454"/>
      <c r="C520" s="454"/>
      <c r="D520" s="455"/>
      <c r="E520" s="456">
        <f>SUM(E516:I519)</f>
        <v>25000000</v>
      </c>
      <c r="F520" s="457"/>
      <c r="G520" s="457"/>
      <c r="H520" s="457"/>
      <c r="I520" s="458"/>
      <c r="J520" s="456">
        <f>SUM(J516:N519)</f>
        <v>24427500</v>
      </c>
      <c r="K520" s="457"/>
      <c r="L520" s="457"/>
      <c r="M520" s="457"/>
      <c r="N520" s="458"/>
      <c r="O520" s="456">
        <f>SUM(O516:S519)</f>
        <v>139401500</v>
      </c>
      <c r="P520" s="457"/>
      <c r="Q520" s="457"/>
      <c r="R520" s="457"/>
      <c r="S520" s="458"/>
      <c r="T520" s="338">
        <f>(J520-O520)/O520*100</f>
        <v>-82.47687435214111</v>
      </c>
      <c r="U520" s="339"/>
      <c r="V520" s="204">
        <f>J520/E520*100</f>
        <v>97.71</v>
      </c>
      <c r="W520" s="205"/>
      <c r="X520" s="205"/>
      <c r="Y520" s="208">
        <f>E520-J520</f>
        <v>572500</v>
      </c>
      <c r="Z520" s="209"/>
      <c r="AA520" s="209"/>
      <c r="AB520" s="209"/>
      <c r="AC520" s="451">
        <f>J520-O520</f>
        <v>-114974000</v>
      </c>
      <c r="AD520" s="452"/>
      <c r="AE520" s="452"/>
      <c r="AF520" s="453"/>
    </row>
    <row r="521" spans="1:32" s="20" customFormat="1" ht="15" customHeight="1">
      <c r="A521" s="18"/>
      <c r="B521" s="441"/>
      <c r="C521" s="441"/>
      <c r="D521" s="441"/>
      <c r="E521" s="429"/>
      <c r="F521" s="429"/>
      <c r="G521" s="429"/>
      <c r="H521" s="429"/>
      <c r="I521" s="429"/>
      <c r="J521" s="429"/>
      <c r="K521" s="429"/>
      <c r="L521" s="429"/>
      <c r="M521" s="429"/>
      <c r="N521" s="429"/>
      <c r="O521" s="429"/>
      <c r="P521" s="429"/>
      <c r="Q521" s="429"/>
      <c r="R521" s="429"/>
      <c r="S521" s="429"/>
      <c r="T521" s="429"/>
      <c r="U521" s="429"/>
      <c r="V521" s="27"/>
    </row>
    <row r="522" spans="1:32" s="20" customFormat="1" ht="15" customHeight="1">
      <c r="A522" s="18"/>
      <c r="B522" s="441"/>
      <c r="C522" s="441"/>
      <c r="D522" s="441">
        <f>D511+1</f>
        <v>5</v>
      </c>
      <c r="E522" s="460" t="s">
        <v>233</v>
      </c>
      <c r="F522" s="460"/>
      <c r="G522" s="460"/>
      <c r="H522" s="460"/>
      <c r="I522" s="460"/>
      <c r="J522" s="460"/>
      <c r="K522" s="460"/>
      <c r="L522" s="460"/>
      <c r="M522" s="460"/>
      <c r="N522" s="460"/>
      <c r="O522" s="460"/>
      <c r="P522" s="460"/>
      <c r="Q522" s="460"/>
      <c r="R522" s="460"/>
      <c r="S522" s="460"/>
      <c r="T522" s="460"/>
      <c r="U522" s="460"/>
      <c r="V522" s="27"/>
    </row>
    <row r="523" spans="1:32" s="20" customFormat="1" ht="82.5" customHeight="1">
      <c r="A523" s="18"/>
      <c r="B523" s="441"/>
      <c r="C523" s="441"/>
      <c r="D523" s="441"/>
      <c r="E523" s="428" t="str">
        <f>"Realisasi Belanja Modal Komputer TA "&amp;'[1]2.ISIAN DATA SKPD'!D11&amp;" sebesar Rp. "&amp;FIXED(J530)&amp;", atau mencapai sebesar "&amp;FIXED(V530)&amp;"% dari anggaran sebesar Rp. "&amp;FIXED(E530)&amp;", kurang dari anggaran sebesar Rp. "&amp;FIXED(Y530)&amp;".  Bila dibandingkan dengan realisasi TA "&amp;'[1]2.ISIAN DATA SKPD'!D12&amp;" turun sebesar Rp. "&amp;FIXED(AC530)&amp;" atau "&amp;FIXED(T530)&amp;"%."</f>
        <v>Realisasi Belanja Modal Komputer TA 2017 sebesar Rp. 18,526,080.00, atau mencapai sebesar 92.63% dari anggaran sebesar Rp. 20,000,000.00, kurang dari anggaran sebesar Rp. 1,473,920.00.  Bila dibandingkan dengan realisasi TA 2016 turun sebesar Rp. -157,435,220.00 atau -89.47%.</v>
      </c>
      <c r="F523" s="428"/>
      <c r="G523" s="428"/>
      <c r="H523" s="428"/>
      <c r="I523" s="428"/>
      <c r="J523" s="428"/>
      <c r="K523" s="428"/>
      <c r="L523" s="428"/>
      <c r="M523" s="428"/>
      <c r="N523" s="428"/>
      <c r="O523" s="428"/>
      <c r="P523" s="428"/>
      <c r="Q523" s="428"/>
      <c r="R523" s="428"/>
      <c r="S523" s="428"/>
      <c r="T523" s="428"/>
      <c r="U523" s="428"/>
      <c r="V523" s="27"/>
    </row>
    <row r="524" spans="1:32" s="20" customFormat="1" ht="38.25" customHeight="1">
      <c r="A524" s="18"/>
      <c r="B524" s="441"/>
      <c r="C524" s="441"/>
      <c r="D524" s="441"/>
      <c r="E524" s="428" t="s">
        <v>234</v>
      </c>
      <c r="F524" s="428"/>
      <c r="G524" s="428"/>
      <c r="H524" s="428"/>
      <c r="I524" s="428"/>
      <c r="J524" s="428"/>
      <c r="K524" s="428"/>
      <c r="L524" s="428"/>
      <c r="M524" s="428"/>
      <c r="N524" s="428"/>
      <c r="O524" s="428"/>
      <c r="P524" s="428"/>
      <c r="Q524" s="428"/>
      <c r="R524" s="428"/>
      <c r="S524" s="428"/>
      <c r="T524" s="428"/>
      <c r="U524" s="428"/>
      <c r="V524" s="27"/>
    </row>
    <row r="525" spans="1:32" s="20" customFormat="1" ht="7.5" customHeight="1">
      <c r="A525" s="18"/>
      <c r="B525" s="441"/>
      <c r="C525" s="441"/>
      <c r="D525" s="441"/>
      <c r="E525" s="461"/>
      <c r="F525" s="461"/>
      <c r="G525" s="461"/>
      <c r="H525" s="461"/>
      <c r="I525" s="461"/>
      <c r="J525" s="461"/>
      <c r="K525" s="461"/>
      <c r="L525" s="461"/>
      <c r="M525" s="461"/>
      <c r="N525" s="461"/>
      <c r="O525" s="461"/>
      <c r="P525" s="461"/>
      <c r="Q525" s="461"/>
      <c r="R525" s="461"/>
      <c r="S525" s="461"/>
      <c r="T525" s="461"/>
      <c r="U525" s="461"/>
      <c r="V525" s="27"/>
    </row>
    <row r="526" spans="1:32" s="20" customFormat="1" ht="36.75" customHeight="1">
      <c r="A526" s="174" t="s">
        <v>235</v>
      </c>
      <c r="B526" s="175"/>
      <c r="C526" s="175"/>
      <c r="D526" s="176"/>
      <c r="E526" s="387" t="str">
        <f>E515</f>
        <v>Anggaran</v>
      </c>
      <c r="F526" s="387"/>
      <c r="G526" s="387"/>
      <c r="H526" s="387"/>
      <c r="I526" s="387"/>
      <c r="J526" s="387" t="str">
        <f>J515</f>
        <v>Realisasi                      TA 2017</v>
      </c>
      <c r="K526" s="387"/>
      <c r="L526" s="387"/>
      <c r="M526" s="387"/>
      <c r="N526" s="387"/>
      <c r="O526" s="387" t="str">
        <f>O515</f>
        <v>Realisasi                   TA 2016</v>
      </c>
      <c r="P526" s="387"/>
      <c r="Q526" s="387"/>
      <c r="R526" s="387"/>
      <c r="S526" s="387"/>
      <c r="T526" s="408" t="s">
        <v>185</v>
      </c>
      <c r="U526" s="409"/>
      <c r="V526" s="431" t="s">
        <v>137</v>
      </c>
      <c r="W526" s="432"/>
      <c r="X526" s="432"/>
      <c r="Y526" s="433" t="s">
        <v>136</v>
      </c>
      <c r="Z526" s="209"/>
      <c r="AA526" s="209"/>
      <c r="AB526" s="209" t="s">
        <v>137</v>
      </c>
      <c r="AC526" s="447" t="s">
        <v>138</v>
      </c>
      <c r="AD526" s="448"/>
      <c r="AE526" s="448"/>
      <c r="AF526" s="449"/>
    </row>
    <row r="527" spans="1:32" s="20" customFormat="1" ht="32.25" customHeight="1">
      <c r="A527" s="231" t="s">
        <v>236</v>
      </c>
      <c r="B527" s="232"/>
      <c r="C527" s="232"/>
      <c r="D527" s="233"/>
      <c r="E527" s="450">
        <f>'[1]3.LRA'!D79</f>
        <v>20000000</v>
      </c>
      <c r="F527" s="114"/>
      <c r="G527" s="114"/>
      <c r="H527" s="114"/>
      <c r="I527" s="114"/>
      <c r="J527" s="450">
        <f>'[1]3.LRA'!E79</f>
        <v>18526080</v>
      </c>
      <c r="K527" s="114"/>
      <c r="L527" s="114"/>
      <c r="M527" s="114"/>
      <c r="N527" s="114"/>
      <c r="O527" s="450">
        <f>'[1]3.LRA'!I79</f>
        <v>175961300</v>
      </c>
      <c r="P527" s="114"/>
      <c r="Q527" s="114"/>
      <c r="R527" s="114"/>
      <c r="S527" s="114"/>
      <c r="T527" s="338">
        <f>(J527-O527)/O527*100</f>
        <v>-89.471503108922249</v>
      </c>
      <c r="U527" s="339"/>
      <c r="V527" s="204">
        <f>J527/E527*100</f>
        <v>92.630400000000009</v>
      </c>
      <c r="W527" s="205"/>
      <c r="X527" s="205"/>
      <c r="Y527" s="208">
        <f>E527-J527</f>
        <v>1473920</v>
      </c>
      <c r="Z527" s="209"/>
      <c r="AA527" s="209"/>
      <c r="AB527" s="209"/>
      <c r="AC527" s="451">
        <f>J527-O527</f>
        <v>-157435220</v>
      </c>
      <c r="AD527" s="452"/>
      <c r="AE527" s="452"/>
      <c r="AF527" s="453"/>
    </row>
    <row r="528" spans="1:32" s="20" customFormat="1" ht="24.75" customHeight="1">
      <c r="A528" s="231" t="s">
        <v>237</v>
      </c>
      <c r="B528" s="232"/>
      <c r="C528" s="232"/>
      <c r="D528" s="233"/>
      <c r="E528" s="450">
        <v>0</v>
      </c>
      <c r="F528" s="114"/>
      <c r="G528" s="114"/>
      <c r="H528" s="114"/>
      <c r="I528" s="114"/>
      <c r="J528" s="450">
        <v>0</v>
      </c>
      <c r="K528" s="114"/>
      <c r="L528" s="114"/>
      <c r="M528" s="114"/>
      <c r="N528" s="114"/>
      <c r="O528" s="450">
        <v>0</v>
      </c>
      <c r="P528" s="114"/>
      <c r="Q528" s="114"/>
      <c r="R528" s="114"/>
      <c r="S528" s="114"/>
      <c r="T528" s="338"/>
      <c r="U528" s="339"/>
      <c r="V528" s="204" t="e">
        <f>J528/E528*100</f>
        <v>#DIV/0!</v>
      </c>
      <c r="W528" s="205"/>
      <c r="X528" s="205"/>
      <c r="Y528" s="208">
        <f>E528-J528</f>
        <v>0</v>
      </c>
      <c r="Z528" s="209"/>
      <c r="AA528" s="209"/>
      <c r="AB528" s="209"/>
      <c r="AC528" s="451">
        <f>J528-O528</f>
        <v>0</v>
      </c>
      <c r="AD528" s="452"/>
      <c r="AE528" s="452"/>
      <c r="AF528" s="453"/>
    </row>
    <row r="529" spans="1:32" s="20" customFormat="1" ht="38.25" customHeight="1">
      <c r="A529" s="231" t="s">
        <v>238</v>
      </c>
      <c r="B529" s="232"/>
      <c r="C529" s="232"/>
      <c r="D529" s="233"/>
      <c r="E529" s="450">
        <v>0</v>
      </c>
      <c r="F529" s="114"/>
      <c r="G529" s="114"/>
      <c r="H529" s="114"/>
      <c r="I529" s="114"/>
      <c r="J529" s="450">
        <v>0</v>
      </c>
      <c r="K529" s="114"/>
      <c r="L529" s="114"/>
      <c r="M529" s="114"/>
      <c r="N529" s="114"/>
      <c r="O529" s="450">
        <v>0</v>
      </c>
      <c r="P529" s="114"/>
      <c r="Q529" s="114"/>
      <c r="R529" s="114"/>
      <c r="S529" s="114"/>
      <c r="T529" s="338"/>
      <c r="U529" s="339"/>
      <c r="V529" s="204" t="e">
        <f>J529/E529*100</f>
        <v>#DIV/0!</v>
      </c>
      <c r="W529" s="205"/>
      <c r="X529" s="205"/>
      <c r="Y529" s="208">
        <f>E529-J529</f>
        <v>0</v>
      </c>
      <c r="Z529" s="209"/>
      <c r="AA529" s="209"/>
      <c r="AB529" s="209"/>
      <c r="AC529" s="451">
        <f>J529-O529</f>
        <v>0</v>
      </c>
      <c r="AD529" s="452"/>
      <c r="AE529" s="452"/>
      <c r="AF529" s="453"/>
    </row>
    <row r="530" spans="1:32" s="20" customFormat="1" ht="17.25" customHeight="1">
      <c r="A530" s="303" t="s">
        <v>143</v>
      </c>
      <c r="B530" s="304"/>
      <c r="C530" s="304"/>
      <c r="D530" s="305"/>
      <c r="E530" s="456">
        <f>SUM(E527:I529)</f>
        <v>20000000</v>
      </c>
      <c r="F530" s="457"/>
      <c r="G530" s="457"/>
      <c r="H530" s="457"/>
      <c r="I530" s="458"/>
      <c r="J530" s="456">
        <f>SUM(J527:N529)</f>
        <v>18526080</v>
      </c>
      <c r="K530" s="457"/>
      <c r="L530" s="457"/>
      <c r="M530" s="457"/>
      <c r="N530" s="458"/>
      <c r="O530" s="456">
        <f>SUM(O527:S529)</f>
        <v>175961300</v>
      </c>
      <c r="P530" s="457"/>
      <c r="Q530" s="457"/>
      <c r="R530" s="457"/>
      <c r="S530" s="458"/>
      <c r="T530" s="338">
        <f>(J530-O530)/O530*100</f>
        <v>-89.471503108922249</v>
      </c>
      <c r="U530" s="339"/>
      <c r="V530" s="204">
        <f>J530/E530*100</f>
        <v>92.630400000000009</v>
      </c>
      <c r="W530" s="205"/>
      <c r="X530" s="205"/>
      <c r="Y530" s="208">
        <f>E530-J530</f>
        <v>1473920</v>
      </c>
      <c r="Z530" s="209"/>
      <c r="AA530" s="209"/>
      <c r="AB530" s="209"/>
      <c r="AC530" s="451">
        <f>J530-O530</f>
        <v>-157435220</v>
      </c>
      <c r="AD530" s="452"/>
      <c r="AE530" s="452"/>
      <c r="AF530" s="453"/>
    </row>
    <row r="531" spans="1:32" s="20" customFormat="1" ht="17.25" customHeight="1">
      <c r="A531" s="18"/>
      <c r="B531" s="441"/>
      <c r="C531" s="441"/>
      <c r="D531" s="441"/>
      <c r="E531" s="461"/>
      <c r="F531" s="461"/>
      <c r="G531" s="461"/>
      <c r="H531" s="461"/>
      <c r="I531" s="461"/>
      <c r="J531" s="461"/>
      <c r="K531" s="461"/>
      <c r="L531" s="461"/>
      <c r="M531" s="461"/>
      <c r="N531" s="461"/>
      <c r="O531" s="461"/>
      <c r="P531" s="461"/>
      <c r="Q531" s="461"/>
      <c r="R531" s="461"/>
      <c r="S531" s="461"/>
      <c r="T531" s="461"/>
      <c r="U531" s="461"/>
      <c r="V531" s="462"/>
      <c r="W531" s="462"/>
      <c r="X531" s="462"/>
      <c r="Y531" s="463"/>
      <c r="Z531" s="464"/>
      <c r="AA531" s="464"/>
      <c r="AB531" s="464"/>
      <c r="AC531" s="465"/>
      <c r="AD531" s="465"/>
      <c r="AE531" s="465"/>
      <c r="AF531" s="465"/>
    </row>
    <row r="532" spans="1:32" s="20" customFormat="1" ht="27" customHeight="1">
      <c r="A532" s="18"/>
      <c r="B532" s="441"/>
      <c r="C532" s="441"/>
      <c r="D532" s="441">
        <f>D522+1</f>
        <v>6</v>
      </c>
      <c r="E532" s="460" t="s">
        <v>239</v>
      </c>
      <c r="F532" s="460"/>
      <c r="G532" s="460"/>
      <c r="H532" s="460"/>
      <c r="I532" s="460"/>
      <c r="J532" s="460"/>
      <c r="K532" s="460"/>
      <c r="L532" s="460"/>
      <c r="M532" s="460"/>
      <c r="N532" s="460"/>
      <c r="O532" s="460"/>
      <c r="P532" s="460"/>
      <c r="Q532" s="460"/>
      <c r="R532" s="460"/>
      <c r="S532" s="460"/>
      <c r="T532" s="460"/>
      <c r="U532" s="460"/>
      <c r="V532" s="27"/>
    </row>
    <row r="533" spans="1:32" s="20" customFormat="1" ht="89.25" customHeight="1">
      <c r="A533" s="18"/>
      <c r="B533" s="441"/>
      <c r="C533" s="441"/>
      <c r="D533" s="441"/>
      <c r="E533" s="428" t="str">
        <f>"Realisasi Belanja Modal studio TA "&amp;'[1]2.ISIAN DATA SKPD'!D11&amp;" sebesar Rp. "&amp;FIXED(J540)&amp;", atau mencapai sebesar "&amp;FIXED(V540)&amp;"% dari anggaran sebesar Rp. "&amp;FIXED(E540)&amp;", kurang dari anggaran sebesar Rp. "&amp;FIXED(Y540)&amp;".  Bila dibandingkan dengan realisasi TA "&amp;'[1]2.ISIAN DATA SKPD'!D12&amp;" turun sebesar Rp. "&amp;FIXED(AC540)&amp;" atau "&amp;FIXED(T540)&amp;"%."</f>
        <v>Realisasi Belanja Modal studio TA 2017 sebesar Rp. 38,785,000.00, atau mencapai sebesar 96.96% dari anggaran sebesar Rp. 40,000,000.00, kurang dari anggaran sebesar Rp. 1,215,000.00.  Bila dibandingkan dengan realisasi TA 2016 turun sebesar Rp. -34,167,232.00 atau -46.84%.</v>
      </c>
      <c r="F533" s="428"/>
      <c r="G533" s="428"/>
      <c r="H533" s="428"/>
      <c r="I533" s="428"/>
      <c r="J533" s="428"/>
      <c r="K533" s="428"/>
      <c r="L533" s="428"/>
      <c r="M533" s="428"/>
      <c r="N533" s="428"/>
      <c r="O533" s="428"/>
      <c r="P533" s="428"/>
      <c r="Q533" s="428"/>
      <c r="R533" s="428"/>
      <c r="S533" s="428"/>
      <c r="T533" s="428"/>
      <c r="U533" s="428"/>
      <c r="V533" s="27"/>
    </row>
    <row r="534" spans="1:32" s="20" customFormat="1" ht="29.25" customHeight="1">
      <c r="A534" s="18"/>
      <c r="B534" s="441"/>
      <c r="C534" s="441"/>
      <c r="D534" s="441"/>
      <c r="E534" s="428" t="s">
        <v>234</v>
      </c>
      <c r="F534" s="428"/>
      <c r="G534" s="428"/>
      <c r="H534" s="428"/>
      <c r="I534" s="428"/>
      <c r="J534" s="428"/>
      <c r="K534" s="428"/>
      <c r="L534" s="428"/>
      <c r="M534" s="428"/>
      <c r="N534" s="428"/>
      <c r="O534" s="428"/>
      <c r="P534" s="428"/>
      <c r="Q534" s="428"/>
      <c r="R534" s="428"/>
      <c r="S534" s="428"/>
      <c r="T534" s="428"/>
      <c r="U534" s="428"/>
      <c r="V534" s="27"/>
    </row>
    <row r="535" spans="1:32" s="20" customFormat="1" ht="16.5" customHeight="1">
      <c r="A535" s="18"/>
      <c r="B535" s="441"/>
      <c r="C535" s="441"/>
      <c r="D535" s="441"/>
      <c r="E535" s="461"/>
      <c r="F535" s="461"/>
      <c r="G535" s="461"/>
      <c r="H535" s="461"/>
      <c r="I535" s="461"/>
      <c r="J535" s="461"/>
      <c r="K535" s="461"/>
      <c r="L535" s="461"/>
      <c r="M535" s="461"/>
      <c r="N535" s="461"/>
      <c r="O535" s="461"/>
      <c r="P535" s="461"/>
      <c r="Q535" s="461"/>
      <c r="R535" s="461"/>
      <c r="S535" s="461"/>
      <c r="T535" s="461"/>
      <c r="U535" s="461"/>
      <c r="V535" s="27"/>
    </row>
    <row r="536" spans="1:32" s="20" customFormat="1" ht="36.75" customHeight="1">
      <c r="A536" s="174" t="s">
        <v>235</v>
      </c>
      <c r="B536" s="175"/>
      <c r="C536" s="175"/>
      <c r="D536" s="176"/>
      <c r="E536" s="387" t="str">
        <f>E526</f>
        <v>Anggaran</v>
      </c>
      <c r="F536" s="387"/>
      <c r="G536" s="387"/>
      <c r="H536" s="387"/>
      <c r="I536" s="387"/>
      <c r="J536" s="387" t="str">
        <f>J526</f>
        <v>Realisasi                      TA 2017</v>
      </c>
      <c r="K536" s="387"/>
      <c r="L536" s="387"/>
      <c r="M536" s="387"/>
      <c r="N536" s="387"/>
      <c r="O536" s="387" t="str">
        <f>O526</f>
        <v>Realisasi                   TA 2016</v>
      </c>
      <c r="P536" s="387"/>
      <c r="Q536" s="387"/>
      <c r="R536" s="387"/>
      <c r="S536" s="387"/>
      <c r="T536" s="408" t="s">
        <v>185</v>
      </c>
      <c r="U536" s="409"/>
      <c r="V536" s="431" t="s">
        <v>137</v>
      </c>
      <c r="W536" s="432"/>
      <c r="X536" s="432"/>
      <c r="Y536" s="433" t="s">
        <v>136</v>
      </c>
      <c r="Z536" s="209"/>
      <c r="AA536" s="209"/>
      <c r="AB536" s="209" t="s">
        <v>137</v>
      </c>
      <c r="AC536" s="447" t="s">
        <v>138</v>
      </c>
      <c r="AD536" s="448"/>
      <c r="AE536" s="448"/>
      <c r="AF536" s="449"/>
    </row>
    <row r="537" spans="1:32" s="20" customFormat="1" ht="16.5" customHeight="1">
      <c r="A537" s="231" t="s">
        <v>240</v>
      </c>
      <c r="B537" s="232"/>
      <c r="C537" s="232"/>
      <c r="D537" s="233"/>
      <c r="E537" s="450">
        <f>'[1]3.LRA'!D80</f>
        <v>40000000</v>
      </c>
      <c r="F537" s="114"/>
      <c r="G537" s="114"/>
      <c r="H537" s="114"/>
      <c r="I537" s="114"/>
      <c r="J537" s="450">
        <f>'[1]3.LRA'!E80</f>
        <v>38785000</v>
      </c>
      <c r="K537" s="114"/>
      <c r="L537" s="114"/>
      <c r="M537" s="114"/>
      <c r="N537" s="114"/>
      <c r="O537" s="450">
        <f>'[1]3.LRA'!I80</f>
        <v>72952232</v>
      </c>
      <c r="P537" s="114"/>
      <c r="Q537" s="114"/>
      <c r="R537" s="114"/>
      <c r="S537" s="114"/>
      <c r="T537" s="338">
        <f>(J537-O537)/O537*100</f>
        <v>-46.83507421678339</v>
      </c>
      <c r="U537" s="339"/>
      <c r="V537" s="204">
        <f>J537/E537*100</f>
        <v>96.962499999999991</v>
      </c>
      <c r="W537" s="205"/>
      <c r="X537" s="205"/>
      <c r="Y537" s="208">
        <f>E537-J537</f>
        <v>1215000</v>
      </c>
      <c r="Z537" s="209"/>
      <c r="AA537" s="209"/>
      <c r="AB537" s="209"/>
      <c r="AC537" s="451">
        <f>J537-O537</f>
        <v>-34167232</v>
      </c>
      <c r="AD537" s="452"/>
      <c r="AE537" s="452"/>
      <c r="AF537" s="453"/>
    </row>
    <row r="538" spans="1:32" s="20" customFormat="1" ht="16.5" customHeight="1">
      <c r="A538" s="231" t="s">
        <v>11</v>
      </c>
      <c r="B538" s="232"/>
      <c r="C538" s="232"/>
      <c r="D538" s="233"/>
      <c r="E538" s="450">
        <v>0</v>
      </c>
      <c r="F538" s="114"/>
      <c r="G538" s="114"/>
      <c r="H538" s="114"/>
      <c r="I538" s="114"/>
      <c r="J538" s="450">
        <v>0</v>
      </c>
      <c r="K538" s="114"/>
      <c r="L538" s="114"/>
      <c r="M538" s="114"/>
      <c r="N538" s="114"/>
      <c r="O538" s="450">
        <v>0</v>
      </c>
      <c r="P538" s="114"/>
      <c r="Q538" s="114"/>
      <c r="R538" s="114"/>
      <c r="S538" s="114"/>
      <c r="T538" s="338">
        <v>0</v>
      </c>
      <c r="U538" s="339"/>
      <c r="V538" s="204" t="e">
        <f>J538/E538*100</f>
        <v>#DIV/0!</v>
      </c>
      <c r="W538" s="205"/>
      <c r="X538" s="205"/>
      <c r="Y538" s="208">
        <f>E538-J538</f>
        <v>0</v>
      </c>
      <c r="Z538" s="209"/>
      <c r="AA538" s="209"/>
      <c r="AB538" s="209"/>
      <c r="AC538" s="451">
        <f>J538-O538</f>
        <v>0</v>
      </c>
      <c r="AD538" s="452"/>
      <c r="AE538" s="452"/>
      <c r="AF538" s="453"/>
    </row>
    <row r="539" spans="1:32" s="20" customFormat="1" ht="30.75" customHeight="1">
      <c r="A539" s="231" t="s">
        <v>11</v>
      </c>
      <c r="B539" s="232"/>
      <c r="C539" s="232"/>
      <c r="D539" s="233"/>
      <c r="E539" s="450">
        <v>0</v>
      </c>
      <c r="F539" s="114"/>
      <c r="G539" s="114"/>
      <c r="H539" s="114"/>
      <c r="I539" s="114"/>
      <c r="J539" s="450">
        <v>0</v>
      </c>
      <c r="K539" s="114"/>
      <c r="L539" s="114"/>
      <c r="M539" s="114"/>
      <c r="N539" s="114"/>
      <c r="O539" s="450">
        <v>0</v>
      </c>
      <c r="P539" s="114"/>
      <c r="Q539" s="114"/>
      <c r="R539" s="114"/>
      <c r="S539" s="114"/>
      <c r="T539" s="338">
        <v>0</v>
      </c>
      <c r="U539" s="339"/>
      <c r="V539" s="204" t="e">
        <f>J539/E539*100</f>
        <v>#DIV/0!</v>
      </c>
      <c r="W539" s="205"/>
      <c r="X539" s="205"/>
      <c r="Y539" s="208">
        <f>E539-J539</f>
        <v>0</v>
      </c>
      <c r="Z539" s="209"/>
      <c r="AA539" s="209"/>
      <c r="AB539" s="209"/>
      <c r="AC539" s="451">
        <f>J539-O539</f>
        <v>0</v>
      </c>
      <c r="AD539" s="452"/>
      <c r="AE539" s="452"/>
      <c r="AF539" s="453"/>
    </row>
    <row r="540" spans="1:32" s="20" customFormat="1" ht="16.5" customHeight="1">
      <c r="A540" s="303" t="s">
        <v>143</v>
      </c>
      <c r="B540" s="304"/>
      <c r="C540" s="304"/>
      <c r="D540" s="305"/>
      <c r="E540" s="456">
        <f>SUM(E537:I539)</f>
        <v>40000000</v>
      </c>
      <c r="F540" s="457"/>
      <c r="G540" s="457"/>
      <c r="H540" s="457"/>
      <c r="I540" s="458"/>
      <c r="J540" s="456">
        <f>SUM(J537:N539)</f>
        <v>38785000</v>
      </c>
      <c r="K540" s="457"/>
      <c r="L540" s="457"/>
      <c r="M540" s="457"/>
      <c r="N540" s="458"/>
      <c r="O540" s="456">
        <f>SUM(O537:S539)</f>
        <v>72952232</v>
      </c>
      <c r="P540" s="457"/>
      <c r="Q540" s="457"/>
      <c r="R540" s="457"/>
      <c r="S540" s="458"/>
      <c r="T540" s="338">
        <f>(J540-O540)/O540*100</f>
        <v>-46.83507421678339</v>
      </c>
      <c r="U540" s="339"/>
      <c r="V540" s="204">
        <f>J540/E540*100</f>
        <v>96.962499999999991</v>
      </c>
      <c r="W540" s="205"/>
      <c r="X540" s="205"/>
      <c r="Y540" s="208">
        <f>E540-J540</f>
        <v>1215000</v>
      </c>
      <c r="Z540" s="209"/>
      <c r="AA540" s="209"/>
      <c r="AB540" s="209"/>
      <c r="AC540" s="451">
        <f>J540-O540</f>
        <v>-34167232</v>
      </c>
      <c r="AD540" s="452"/>
      <c r="AE540" s="452"/>
      <c r="AF540" s="453"/>
    </row>
    <row r="541" spans="1:32" s="20" customFormat="1" ht="16.5" customHeight="1">
      <c r="A541" s="18"/>
      <c r="B541" s="441"/>
      <c r="C541" s="441"/>
      <c r="D541" s="441"/>
      <c r="E541" s="466"/>
      <c r="F541" s="466"/>
      <c r="G541" s="466"/>
      <c r="H541" s="466"/>
      <c r="I541" s="466"/>
      <c r="J541" s="466"/>
      <c r="K541" s="466"/>
      <c r="L541" s="466"/>
      <c r="M541" s="466"/>
      <c r="N541" s="466"/>
      <c r="O541" s="466"/>
      <c r="P541" s="466"/>
      <c r="Q541" s="466"/>
      <c r="R541" s="466"/>
      <c r="S541" s="466"/>
      <c r="T541" s="466"/>
      <c r="U541" s="466"/>
      <c r="V541" s="27"/>
    </row>
    <row r="542" spans="1:32" s="20" customFormat="1" ht="27.75" customHeight="1">
      <c r="A542" s="18"/>
      <c r="B542" s="441"/>
      <c r="C542" s="441"/>
      <c r="D542" s="441">
        <f>D532+1</f>
        <v>7</v>
      </c>
      <c r="E542" s="460" t="s">
        <v>241</v>
      </c>
      <c r="F542" s="460"/>
      <c r="G542" s="460"/>
      <c r="H542" s="460"/>
      <c r="I542" s="460"/>
      <c r="J542" s="460"/>
      <c r="K542" s="460"/>
      <c r="L542" s="460"/>
      <c r="M542" s="460"/>
      <c r="N542" s="460"/>
      <c r="O542" s="460"/>
      <c r="P542" s="460"/>
      <c r="Q542" s="460"/>
      <c r="R542" s="460"/>
      <c r="S542" s="460"/>
      <c r="T542" s="460"/>
      <c r="U542" s="460"/>
      <c r="V542" s="27"/>
    </row>
    <row r="543" spans="1:32" s="20" customFormat="1" ht="79.5" customHeight="1">
      <c r="A543" s="18"/>
      <c r="B543" s="441"/>
      <c r="C543" s="441"/>
      <c r="D543" s="441"/>
      <c r="E543" s="428" t="str">
        <f>"Realisasi Belanja Modal alat Komunikasi TA "&amp;'[1]2.ISIAN DATA SKPD'!D11&amp;" sebesar Rp. "&amp;FIXED(J550)&amp;", atau mencapai sebesar "&amp;FIXED(V550)&amp;"% dari anggaran sebesar Rp. "&amp;FIXED(E550)&amp;", kurang dari anggaran sebesar Rp. "&amp;FIXED(Y550)&amp;".  Bila dibandingkan dengan realisasi TA "&amp;'[1]2.ISIAN DATA SKPD'!D12&amp;" turun sebesar Rp. "&amp;FIXED(AC550)&amp;" atau "&amp;FIXED(T550)&amp;"%."</f>
        <v>Realisasi Belanja Modal alat Komunikasi TA 2017 sebesar Rp. 0.00, atau mencapai sebesar 0.00% dari anggaran sebesar Rp. 0.00, kurang dari anggaran sebesar Rp. 0.00.  Bila dibandingkan dengan realisasi TA 2016 turun sebesar Rp. -12,899,000.00 atau -100.00%.</v>
      </c>
      <c r="F543" s="428"/>
      <c r="G543" s="428"/>
      <c r="H543" s="428"/>
      <c r="I543" s="428"/>
      <c r="J543" s="428"/>
      <c r="K543" s="428"/>
      <c r="L543" s="428"/>
      <c r="M543" s="428"/>
      <c r="N543" s="428"/>
      <c r="O543" s="428"/>
      <c r="P543" s="428"/>
      <c r="Q543" s="428"/>
      <c r="R543" s="428"/>
      <c r="S543" s="428"/>
      <c r="T543" s="428"/>
      <c r="U543" s="428"/>
      <c r="V543" s="27"/>
    </row>
    <row r="544" spans="1:32" s="20" customFormat="1" ht="36.75" customHeight="1">
      <c r="A544" s="18"/>
      <c r="B544" s="441"/>
      <c r="C544" s="441"/>
      <c r="D544" s="441"/>
      <c r="E544" s="428" t="s">
        <v>242</v>
      </c>
      <c r="F544" s="428"/>
      <c r="G544" s="428"/>
      <c r="H544" s="428"/>
      <c r="I544" s="428"/>
      <c r="J544" s="428"/>
      <c r="K544" s="428"/>
      <c r="L544" s="428"/>
      <c r="M544" s="428"/>
      <c r="N544" s="428"/>
      <c r="O544" s="428"/>
      <c r="P544" s="428"/>
      <c r="Q544" s="428"/>
      <c r="R544" s="428"/>
      <c r="S544" s="428"/>
      <c r="T544" s="428"/>
      <c r="U544" s="428"/>
      <c r="V544" s="27"/>
    </row>
    <row r="545" spans="1:32" s="20" customFormat="1" ht="3.75" customHeight="1">
      <c r="A545" s="18"/>
      <c r="B545" s="441"/>
      <c r="C545" s="441"/>
      <c r="D545" s="441"/>
      <c r="E545" s="461"/>
      <c r="F545" s="461"/>
      <c r="G545" s="461"/>
      <c r="H545" s="461"/>
      <c r="I545" s="461"/>
      <c r="J545" s="461"/>
      <c r="K545" s="461"/>
      <c r="L545" s="461"/>
      <c r="M545" s="461"/>
      <c r="N545" s="461"/>
      <c r="O545" s="461"/>
      <c r="P545" s="461"/>
      <c r="Q545" s="461"/>
      <c r="R545" s="461"/>
      <c r="S545" s="461"/>
      <c r="T545" s="461"/>
      <c r="U545" s="461"/>
      <c r="V545" s="27"/>
    </row>
    <row r="546" spans="1:32" s="20" customFormat="1" ht="36" customHeight="1">
      <c r="A546" s="174" t="s">
        <v>243</v>
      </c>
      <c r="B546" s="175"/>
      <c r="C546" s="175"/>
      <c r="D546" s="176"/>
      <c r="E546" s="387" t="str">
        <f>E536</f>
        <v>Anggaran</v>
      </c>
      <c r="F546" s="387"/>
      <c r="G546" s="387"/>
      <c r="H546" s="387"/>
      <c r="I546" s="387"/>
      <c r="J546" s="387" t="str">
        <f>J536</f>
        <v>Realisasi                      TA 2017</v>
      </c>
      <c r="K546" s="387"/>
      <c r="L546" s="387"/>
      <c r="M546" s="387"/>
      <c r="N546" s="387"/>
      <c r="O546" s="387" t="str">
        <f>O536</f>
        <v>Realisasi                   TA 2016</v>
      </c>
      <c r="P546" s="387"/>
      <c r="Q546" s="387"/>
      <c r="R546" s="387"/>
      <c r="S546" s="387"/>
      <c r="T546" s="408" t="s">
        <v>185</v>
      </c>
      <c r="U546" s="409"/>
      <c r="V546" s="431" t="s">
        <v>137</v>
      </c>
      <c r="W546" s="432"/>
      <c r="X546" s="432"/>
      <c r="Y546" s="433" t="s">
        <v>136</v>
      </c>
      <c r="Z546" s="209"/>
      <c r="AA546" s="209"/>
      <c r="AB546" s="209" t="s">
        <v>137</v>
      </c>
      <c r="AC546" s="447" t="s">
        <v>138</v>
      </c>
      <c r="AD546" s="448"/>
      <c r="AE546" s="448"/>
      <c r="AF546" s="449"/>
    </row>
    <row r="547" spans="1:32" s="20" customFormat="1" ht="16.5" customHeight="1">
      <c r="A547" s="231" t="s">
        <v>11</v>
      </c>
      <c r="B547" s="232"/>
      <c r="C547" s="232"/>
      <c r="D547" s="233"/>
      <c r="E547" s="450">
        <f>'[1]3.LRA'!D99</f>
        <v>0</v>
      </c>
      <c r="F547" s="114"/>
      <c r="G547" s="114"/>
      <c r="H547" s="114"/>
      <c r="I547" s="114"/>
      <c r="J547" s="450">
        <f>'[1]3.LRA'!E99</f>
        <v>0</v>
      </c>
      <c r="K547" s="114"/>
      <c r="L547" s="114"/>
      <c r="M547" s="114"/>
      <c r="N547" s="114"/>
      <c r="O547" s="450">
        <f>'[1]3.LRA'!I81</f>
        <v>12899000</v>
      </c>
      <c r="P547" s="114"/>
      <c r="Q547" s="114"/>
      <c r="R547" s="114"/>
      <c r="S547" s="114"/>
      <c r="T547" s="338">
        <f>(J547-O547)/O547*100</f>
        <v>-100</v>
      </c>
      <c r="U547" s="339"/>
      <c r="V547" s="204" t="e">
        <f>J547/E547*100</f>
        <v>#DIV/0!</v>
      </c>
      <c r="W547" s="205"/>
      <c r="X547" s="205"/>
      <c r="Y547" s="208">
        <f>E547-J547</f>
        <v>0</v>
      </c>
      <c r="Z547" s="209"/>
      <c r="AA547" s="209"/>
      <c r="AB547" s="209"/>
      <c r="AC547" s="451">
        <f>J547-O547</f>
        <v>-12899000</v>
      </c>
      <c r="AD547" s="452"/>
      <c r="AE547" s="452"/>
      <c r="AF547" s="453"/>
    </row>
    <row r="548" spans="1:32" s="20" customFormat="1" ht="16.5" customHeight="1">
      <c r="A548" s="231" t="s">
        <v>11</v>
      </c>
      <c r="B548" s="232"/>
      <c r="C548" s="232"/>
      <c r="D548" s="233"/>
      <c r="E548" s="450">
        <v>0</v>
      </c>
      <c r="F548" s="114"/>
      <c r="G548" s="114"/>
      <c r="H548" s="114"/>
      <c r="I548" s="114"/>
      <c r="J548" s="450">
        <v>0</v>
      </c>
      <c r="K548" s="114"/>
      <c r="L548" s="114"/>
      <c r="M548" s="114"/>
      <c r="N548" s="114"/>
      <c r="O548" s="450">
        <v>0</v>
      </c>
      <c r="P548" s="114"/>
      <c r="Q548" s="114"/>
      <c r="R548" s="114"/>
      <c r="S548" s="114"/>
      <c r="T548" s="338"/>
      <c r="U548" s="339"/>
      <c r="V548" s="204" t="e">
        <f>J548/E548*100</f>
        <v>#DIV/0!</v>
      </c>
      <c r="W548" s="205"/>
      <c r="X548" s="205"/>
      <c r="Y548" s="208">
        <f>E548-J548</f>
        <v>0</v>
      </c>
      <c r="Z548" s="209"/>
      <c r="AA548" s="209"/>
      <c r="AB548" s="209"/>
      <c r="AC548" s="451">
        <f>J548-O548</f>
        <v>0</v>
      </c>
      <c r="AD548" s="452"/>
      <c r="AE548" s="452"/>
      <c r="AF548" s="453"/>
    </row>
    <row r="549" spans="1:32" s="20" customFormat="1" ht="30.75" customHeight="1">
      <c r="A549" s="231" t="s">
        <v>11</v>
      </c>
      <c r="B549" s="232"/>
      <c r="C549" s="232"/>
      <c r="D549" s="233"/>
      <c r="E549" s="450">
        <v>0</v>
      </c>
      <c r="F549" s="114"/>
      <c r="G549" s="114"/>
      <c r="H549" s="114"/>
      <c r="I549" s="114"/>
      <c r="J549" s="450">
        <v>0</v>
      </c>
      <c r="K549" s="114"/>
      <c r="L549" s="114"/>
      <c r="M549" s="114"/>
      <c r="N549" s="114"/>
      <c r="O549" s="450">
        <v>0</v>
      </c>
      <c r="P549" s="114"/>
      <c r="Q549" s="114"/>
      <c r="R549" s="114"/>
      <c r="S549" s="114"/>
      <c r="T549" s="338"/>
      <c r="U549" s="339"/>
      <c r="V549" s="204" t="e">
        <f>J549/E549*100</f>
        <v>#DIV/0!</v>
      </c>
      <c r="W549" s="205"/>
      <c r="X549" s="205"/>
      <c r="Y549" s="208">
        <f>E549-J549</f>
        <v>0</v>
      </c>
      <c r="Z549" s="209"/>
      <c r="AA549" s="209"/>
      <c r="AB549" s="209"/>
      <c r="AC549" s="451">
        <f>J549-O549</f>
        <v>0</v>
      </c>
      <c r="AD549" s="452"/>
      <c r="AE549" s="452"/>
      <c r="AF549" s="453"/>
    </row>
    <row r="550" spans="1:32" s="20" customFormat="1" ht="16.5" customHeight="1">
      <c r="A550" s="303" t="s">
        <v>143</v>
      </c>
      <c r="B550" s="304"/>
      <c r="C550" s="304"/>
      <c r="D550" s="305"/>
      <c r="E550" s="456">
        <f>SUM(E547:I549)</f>
        <v>0</v>
      </c>
      <c r="F550" s="457"/>
      <c r="G550" s="457"/>
      <c r="H550" s="457"/>
      <c r="I550" s="458"/>
      <c r="J550" s="456">
        <f>SUM(J547:N549)</f>
        <v>0</v>
      </c>
      <c r="K550" s="457"/>
      <c r="L550" s="457"/>
      <c r="M550" s="457"/>
      <c r="N550" s="458"/>
      <c r="O550" s="456">
        <f>SUM(O547:S549)</f>
        <v>12899000</v>
      </c>
      <c r="P550" s="457"/>
      <c r="Q550" s="457"/>
      <c r="R550" s="457"/>
      <c r="S550" s="458"/>
      <c r="T550" s="338">
        <f>(J550-O550)/O550*100</f>
        <v>-100</v>
      </c>
      <c r="U550" s="339"/>
      <c r="V550" s="204">
        <v>0</v>
      </c>
      <c r="W550" s="205"/>
      <c r="X550" s="205"/>
      <c r="Y550" s="208">
        <f>E550-J550</f>
        <v>0</v>
      </c>
      <c r="Z550" s="209"/>
      <c r="AA550" s="209"/>
      <c r="AB550" s="209"/>
      <c r="AC550" s="451">
        <f>J550-O550</f>
        <v>-12899000</v>
      </c>
      <c r="AD550" s="452"/>
      <c r="AE550" s="452"/>
      <c r="AF550" s="453"/>
    </row>
    <row r="551" spans="1:32" s="20" customFormat="1" ht="11.25" customHeight="1">
      <c r="A551" s="18"/>
      <c r="B551" s="441"/>
      <c r="C551" s="441"/>
      <c r="D551" s="441"/>
      <c r="E551" s="466"/>
      <c r="F551" s="466"/>
      <c r="G551" s="466"/>
      <c r="H551" s="466"/>
      <c r="I551" s="466"/>
      <c r="J551" s="466"/>
      <c r="K551" s="466"/>
      <c r="L551" s="466"/>
      <c r="M551" s="466"/>
      <c r="N551" s="466"/>
      <c r="O551" s="466"/>
      <c r="P551" s="466"/>
      <c r="Q551" s="466"/>
      <c r="R551" s="466"/>
      <c r="S551" s="466"/>
      <c r="T551" s="466"/>
      <c r="U551" s="466"/>
      <c r="V551" s="27"/>
    </row>
    <row r="552" spans="1:32" s="20" customFormat="1" ht="16.5" customHeight="1">
      <c r="A552" s="18"/>
      <c r="B552" s="441"/>
      <c r="C552" s="441"/>
      <c r="D552" s="441">
        <f>D533+1</f>
        <v>1</v>
      </c>
      <c r="E552" s="460" t="s">
        <v>244</v>
      </c>
      <c r="F552" s="460"/>
      <c r="G552" s="460"/>
      <c r="H552" s="460"/>
      <c r="I552" s="460"/>
      <c r="J552" s="460"/>
      <c r="K552" s="460"/>
      <c r="L552" s="460"/>
      <c r="M552" s="460"/>
      <c r="N552" s="460"/>
      <c r="O552" s="460"/>
      <c r="P552" s="460"/>
      <c r="Q552" s="460"/>
      <c r="R552" s="460"/>
      <c r="S552" s="460"/>
      <c r="T552" s="460"/>
      <c r="U552" s="460"/>
      <c r="V552" s="27"/>
    </row>
    <row r="553" spans="1:32" s="20" customFormat="1" ht="96" customHeight="1">
      <c r="A553" s="18"/>
      <c r="B553" s="441"/>
      <c r="C553" s="441"/>
      <c r="D553" s="441"/>
      <c r="E553" s="428" t="str">
        <f>"Realisasi Belanja Modal Alat Pemel Tanaman TA "&amp;'[1]2.ISIAN DATA SKPD'!D11&amp;" sebesar Rp. "&amp;FIXED(J559)&amp;", atau mencapai sebesar "&amp;FIXED(V559)&amp;"% dari anggaran sebesar Rp. "&amp;FIXED(E559)&amp;", kurang dari anggaran sebesar Rp. "&amp;FIXED(Y559)&amp;". Bila dibandingkan dengan realisasi TA "&amp;'[1]2.ISIAN DATA SKPD'!D12&amp;" turun sebesar Rp. "&amp;FIXED(AC559)&amp;" atau "&amp;FIXED(T559)&amp;"%."</f>
        <v>Realisasi Belanja Modal Alat Pemel Tanaman TA 2017 sebesar Rp. 0.00, atau mencapai sebesar 0.00% dari anggaran sebesar Rp. 0.00, kurang dari anggaran sebesar Rp. 0.00. Bila dibandingkan dengan realisasi TA 2016 turun sebesar Rp. -9,000,000.00 atau -100.00%.</v>
      </c>
      <c r="F553" s="428"/>
      <c r="G553" s="428"/>
      <c r="H553" s="428"/>
      <c r="I553" s="428"/>
      <c r="J553" s="428"/>
      <c r="K553" s="428"/>
      <c r="L553" s="428"/>
      <c r="M553" s="428"/>
      <c r="N553" s="428"/>
      <c r="O553" s="428"/>
      <c r="P553" s="428"/>
      <c r="Q553" s="428"/>
      <c r="R553" s="428"/>
      <c r="S553" s="428"/>
      <c r="T553" s="428"/>
      <c r="U553" s="428"/>
      <c r="V553" s="27"/>
    </row>
    <row r="554" spans="1:32" s="20" customFormat="1" ht="35.25" customHeight="1">
      <c r="A554" s="18"/>
      <c r="B554" s="441"/>
      <c r="C554" s="441"/>
      <c r="D554" s="441"/>
      <c r="E554" s="428" t="s">
        <v>245</v>
      </c>
      <c r="F554" s="428"/>
      <c r="G554" s="428"/>
      <c r="H554" s="428"/>
      <c r="I554" s="428"/>
      <c r="J554" s="428"/>
      <c r="K554" s="428"/>
      <c r="L554" s="428"/>
      <c r="M554" s="428"/>
      <c r="N554" s="428"/>
      <c r="O554" s="428"/>
      <c r="P554" s="428"/>
      <c r="Q554" s="428"/>
      <c r="R554" s="428"/>
      <c r="S554" s="428"/>
      <c r="T554" s="428"/>
      <c r="U554" s="428"/>
      <c r="V554" s="27"/>
    </row>
    <row r="555" spans="1:32" s="20" customFormat="1" ht="16.5" customHeight="1">
      <c r="A555" s="18"/>
      <c r="B555" s="441"/>
      <c r="C555" s="441"/>
      <c r="D555" s="441"/>
      <c r="E555" s="429"/>
      <c r="F555" s="429"/>
      <c r="G555" s="429"/>
      <c r="H555" s="429"/>
      <c r="I555" s="429"/>
      <c r="J555" s="429"/>
      <c r="K555" s="429"/>
      <c r="L555" s="429"/>
      <c r="M555" s="429"/>
      <c r="N555" s="429"/>
      <c r="O555" s="429"/>
      <c r="P555" s="429"/>
      <c r="Q555" s="429"/>
      <c r="R555" s="429"/>
      <c r="S555" s="429"/>
      <c r="T555" s="429"/>
      <c r="U555" s="429"/>
      <c r="V555" s="27"/>
    </row>
    <row r="556" spans="1:32" s="20" customFormat="1" ht="28.5" customHeight="1">
      <c r="A556" s="174" t="s">
        <v>246</v>
      </c>
      <c r="B556" s="175"/>
      <c r="C556" s="175"/>
      <c r="D556" s="176"/>
      <c r="E556" s="387" t="str">
        <f>E526</f>
        <v>Anggaran</v>
      </c>
      <c r="F556" s="387"/>
      <c r="G556" s="387"/>
      <c r="H556" s="387"/>
      <c r="I556" s="387"/>
      <c r="J556" s="387" t="str">
        <f>J536</f>
        <v>Realisasi                      TA 2017</v>
      </c>
      <c r="K556" s="387"/>
      <c r="L556" s="387"/>
      <c r="M556" s="387"/>
      <c r="N556" s="387"/>
      <c r="O556" s="387" t="str">
        <f>O536</f>
        <v>Realisasi                   TA 2016</v>
      </c>
      <c r="P556" s="387"/>
      <c r="Q556" s="387"/>
      <c r="R556" s="387"/>
      <c r="S556" s="387"/>
      <c r="T556" s="408" t="s">
        <v>185</v>
      </c>
      <c r="U556" s="409"/>
      <c r="V556" s="431" t="s">
        <v>137</v>
      </c>
      <c r="W556" s="432"/>
      <c r="X556" s="432"/>
      <c r="Y556" s="433" t="s">
        <v>136</v>
      </c>
      <c r="Z556" s="209"/>
      <c r="AA556" s="209"/>
      <c r="AB556" s="209" t="s">
        <v>137</v>
      </c>
      <c r="AC556" s="447" t="s">
        <v>138</v>
      </c>
      <c r="AD556" s="448"/>
      <c r="AE556" s="448"/>
      <c r="AF556" s="449"/>
    </row>
    <row r="557" spans="1:32" s="20" customFormat="1" ht="28.5" customHeight="1">
      <c r="A557" s="231" t="s">
        <v>247</v>
      </c>
      <c r="B557" s="232"/>
      <c r="C557" s="232"/>
      <c r="D557" s="233"/>
      <c r="E557" s="450">
        <v>0</v>
      </c>
      <c r="F557" s="114"/>
      <c r="G557" s="114"/>
      <c r="H557" s="114"/>
      <c r="I557" s="114"/>
      <c r="J557" s="450">
        <v>0</v>
      </c>
      <c r="K557" s="114"/>
      <c r="L557" s="114"/>
      <c r="M557" s="114"/>
      <c r="N557" s="114"/>
      <c r="O557" s="450">
        <f>'[1]3.LRA'!I82</f>
        <v>9000000</v>
      </c>
      <c r="P557" s="114"/>
      <c r="Q557" s="114"/>
      <c r="R557" s="114"/>
      <c r="S557" s="114"/>
      <c r="T557" s="338">
        <f>(J557-O557)/O557*100</f>
        <v>-100</v>
      </c>
      <c r="U557" s="339"/>
      <c r="V557" s="204" t="e">
        <f>J557/E557*100</f>
        <v>#DIV/0!</v>
      </c>
      <c r="W557" s="205"/>
      <c r="X557" s="205"/>
      <c r="Y557" s="208">
        <f>E557-J557</f>
        <v>0</v>
      </c>
      <c r="Z557" s="209"/>
      <c r="AA557" s="209"/>
      <c r="AB557" s="209"/>
      <c r="AC557" s="451">
        <f>J557-O557</f>
        <v>-9000000</v>
      </c>
      <c r="AD557" s="452"/>
      <c r="AE557" s="452"/>
      <c r="AF557" s="453"/>
    </row>
    <row r="558" spans="1:32" s="20" customFormat="1" ht="25.5" customHeight="1">
      <c r="A558" s="231" t="s">
        <v>11</v>
      </c>
      <c r="B558" s="232"/>
      <c r="C558" s="232"/>
      <c r="D558" s="233"/>
      <c r="E558" s="450">
        <v>0</v>
      </c>
      <c r="F558" s="114"/>
      <c r="G558" s="114"/>
      <c r="H558" s="114"/>
      <c r="I558" s="114"/>
      <c r="J558" s="450">
        <v>0</v>
      </c>
      <c r="K558" s="114"/>
      <c r="L558" s="114"/>
      <c r="M558" s="114"/>
      <c r="N558" s="114"/>
      <c r="O558" s="450">
        <v>0</v>
      </c>
      <c r="P558" s="114"/>
      <c r="Q558" s="114"/>
      <c r="R558" s="114"/>
      <c r="S558" s="114"/>
      <c r="T558" s="338"/>
      <c r="U558" s="339"/>
      <c r="V558" s="204" t="e">
        <f>J558/E558*100</f>
        <v>#DIV/0!</v>
      </c>
      <c r="W558" s="205"/>
      <c r="X558" s="205"/>
      <c r="Y558" s="208">
        <f>E558-J558</f>
        <v>0</v>
      </c>
      <c r="Z558" s="209"/>
      <c r="AA558" s="209"/>
      <c r="AB558" s="209"/>
      <c r="AC558" s="451">
        <f>J558-O558</f>
        <v>0</v>
      </c>
      <c r="AD558" s="452"/>
      <c r="AE558" s="452"/>
      <c r="AF558" s="453"/>
    </row>
    <row r="559" spans="1:32" s="20" customFormat="1" ht="27.75" customHeight="1">
      <c r="A559" s="303" t="s">
        <v>143</v>
      </c>
      <c r="B559" s="304"/>
      <c r="C559" s="304"/>
      <c r="D559" s="305"/>
      <c r="E559" s="456">
        <f>SUM(E557:I558)</f>
        <v>0</v>
      </c>
      <c r="F559" s="457"/>
      <c r="G559" s="457"/>
      <c r="H559" s="457"/>
      <c r="I559" s="458"/>
      <c r="J559" s="456">
        <f>SUM(J557:N558)</f>
        <v>0</v>
      </c>
      <c r="K559" s="457"/>
      <c r="L559" s="457"/>
      <c r="M559" s="457"/>
      <c r="N559" s="458"/>
      <c r="O559" s="456">
        <f>SUM(O557:S558)</f>
        <v>9000000</v>
      </c>
      <c r="P559" s="457"/>
      <c r="Q559" s="457"/>
      <c r="R559" s="457"/>
      <c r="S559" s="458"/>
      <c r="T559" s="338">
        <f>(J559-O559)/O559*100</f>
        <v>-100</v>
      </c>
      <c r="U559" s="339"/>
      <c r="V559" s="204">
        <v>0</v>
      </c>
      <c r="W559" s="205"/>
      <c r="X559" s="205"/>
      <c r="Y559" s="208">
        <f>E559-J559</f>
        <v>0</v>
      </c>
      <c r="Z559" s="209"/>
      <c r="AA559" s="209"/>
      <c r="AB559" s="209"/>
      <c r="AC559" s="451">
        <f>J559-O559</f>
        <v>-9000000</v>
      </c>
      <c r="AD559" s="452"/>
      <c r="AE559" s="452"/>
      <c r="AF559" s="453"/>
    </row>
    <row r="560" spans="1:32" s="20" customFormat="1" ht="14.25" customHeight="1">
      <c r="A560" s="18"/>
      <c r="B560" s="441"/>
      <c r="C560" s="441"/>
      <c r="D560" s="441"/>
      <c r="E560" s="466"/>
      <c r="F560" s="466"/>
      <c r="G560" s="466"/>
      <c r="H560" s="466"/>
      <c r="I560" s="466"/>
      <c r="J560" s="466"/>
      <c r="K560" s="466"/>
      <c r="L560" s="466"/>
      <c r="M560" s="466"/>
      <c r="N560" s="466"/>
      <c r="O560" s="466"/>
      <c r="P560" s="466"/>
      <c r="Q560" s="466"/>
      <c r="R560" s="466"/>
      <c r="S560" s="466"/>
      <c r="T560" s="466"/>
      <c r="U560" s="466"/>
      <c r="V560" s="27"/>
    </row>
    <row r="561" spans="1:32" s="20" customFormat="1" ht="22.5" customHeight="1">
      <c r="A561" s="18"/>
      <c r="B561" s="441"/>
      <c r="C561" s="441"/>
      <c r="D561" s="441">
        <f>D542+1</f>
        <v>8</v>
      </c>
      <c r="E561" s="460" t="s">
        <v>248</v>
      </c>
      <c r="F561" s="460"/>
      <c r="G561" s="460"/>
      <c r="H561" s="460"/>
      <c r="I561" s="460"/>
      <c r="J561" s="460"/>
      <c r="K561" s="460"/>
      <c r="L561" s="460"/>
      <c r="M561" s="460"/>
      <c r="N561" s="460"/>
      <c r="O561" s="460"/>
      <c r="P561" s="460"/>
      <c r="Q561" s="460"/>
      <c r="R561" s="460"/>
      <c r="S561" s="460"/>
      <c r="T561" s="460"/>
      <c r="U561" s="460"/>
      <c r="V561" s="27"/>
    </row>
    <row r="562" spans="1:32" s="20" customFormat="1" ht="76.5" customHeight="1">
      <c r="A562" s="18"/>
      <c r="B562" s="441"/>
      <c r="C562" s="441"/>
      <c r="D562" s="441"/>
      <c r="E562" s="428" t="str">
        <f>"Realisasi Belanja Modal Alat ukur TA "&amp;'[1]2.ISIAN DATA SKPD'!D11&amp;" sebesar Rp. "&amp;FIXED(J568)&amp;", atau mencapai sebesar "&amp;FIXED(V568)&amp;"% dari anggaran sebesar Rp. "&amp;FIXED(E568)&amp;", kurang dari anggaran sebesar Rp. "&amp;FIXED(Y568)&amp;". Bila dibandingkan dengan realisasi TA "&amp;'[1]2.ISIAN DATA SKPD'!D12&amp;" turun sebesar Rp. "&amp;FIXED(AC568)&amp;" atau "&amp;FIXED(T568)&amp;"%"</f>
        <v>Realisasi Belanja Modal Alat ukur TA 2017 sebesar Rp. 0.00, atau mencapai sebesar 0.00% dari anggaran sebesar Rp. 0.00, kurang dari anggaran sebesar Rp. 0.00. Bila dibandingkan dengan realisasi TA 2016 turun sebesar Rp. -8,000,000.00 atau -100.00%</v>
      </c>
      <c r="F562" s="428"/>
      <c r="G562" s="428"/>
      <c r="H562" s="428"/>
      <c r="I562" s="428"/>
      <c r="J562" s="428"/>
      <c r="K562" s="428"/>
      <c r="L562" s="428"/>
      <c r="M562" s="428"/>
      <c r="N562" s="428"/>
      <c r="O562" s="428"/>
      <c r="P562" s="428"/>
      <c r="Q562" s="428"/>
      <c r="R562" s="428"/>
      <c r="S562" s="428"/>
      <c r="T562" s="428"/>
      <c r="U562" s="428"/>
      <c r="V562" s="27"/>
    </row>
    <row r="563" spans="1:32" s="20" customFormat="1" ht="36" customHeight="1">
      <c r="A563" s="18"/>
      <c r="B563" s="441"/>
      <c r="C563" s="441"/>
      <c r="D563" s="441"/>
      <c r="E563" s="428" t="s">
        <v>249</v>
      </c>
      <c r="F563" s="428"/>
      <c r="G563" s="428"/>
      <c r="H563" s="428"/>
      <c r="I563" s="428"/>
      <c r="J563" s="428"/>
      <c r="K563" s="428"/>
      <c r="L563" s="428"/>
      <c r="M563" s="428"/>
      <c r="N563" s="428"/>
      <c r="O563" s="428"/>
      <c r="P563" s="428"/>
      <c r="Q563" s="428"/>
      <c r="R563" s="428"/>
      <c r="S563" s="428"/>
      <c r="T563" s="428"/>
      <c r="U563" s="428"/>
      <c r="V563" s="27"/>
    </row>
    <row r="564" spans="1:32" s="20" customFormat="1" ht="16.5" customHeight="1">
      <c r="A564" s="18"/>
      <c r="B564" s="441"/>
      <c r="C564" s="441"/>
      <c r="D564" s="441"/>
      <c r="E564" s="429"/>
      <c r="F564" s="429"/>
      <c r="G564" s="429"/>
      <c r="H564" s="429"/>
      <c r="I564" s="429"/>
      <c r="J564" s="429"/>
      <c r="K564" s="429"/>
      <c r="L564" s="429"/>
      <c r="M564" s="429"/>
      <c r="N564" s="429"/>
      <c r="O564" s="429"/>
      <c r="P564" s="429"/>
      <c r="Q564" s="429"/>
      <c r="R564" s="429"/>
      <c r="S564" s="429"/>
      <c r="T564" s="429"/>
      <c r="U564" s="429"/>
      <c r="V564" s="27"/>
    </row>
    <row r="565" spans="1:32" s="20" customFormat="1" ht="26.25" customHeight="1">
      <c r="A565" s="174" t="s">
        <v>250</v>
      </c>
      <c r="B565" s="175"/>
      <c r="C565" s="175"/>
      <c r="D565" s="176"/>
      <c r="E565" s="387" t="str">
        <f>E526</f>
        <v>Anggaran</v>
      </c>
      <c r="F565" s="387"/>
      <c r="G565" s="387"/>
      <c r="H565" s="387"/>
      <c r="I565" s="387"/>
      <c r="J565" s="387" t="str">
        <f>J526</f>
        <v>Realisasi                      TA 2017</v>
      </c>
      <c r="K565" s="387"/>
      <c r="L565" s="387"/>
      <c r="M565" s="387"/>
      <c r="N565" s="387"/>
      <c r="O565" s="387" t="str">
        <f>O526</f>
        <v>Realisasi                   TA 2016</v>
      </c>
      <c r="P565" s="387"/>
      <c r="Q565" s="387"/>
      <c r="R565" s="387"/>
      <c r="S565" s="387"/>
      <c r="T565" s="408" t="s">
        <v>185</v>
      </c>
      <c r="U565" s="409"/>
      <c r="V565" s="431" t="s">
        <v>137</v>
      </c>
      <c r="W565" s="432"/>
      <c r="X565" s="432"/>
      <c r="Y565" s="433" t="s">
        <v>136</v>
      </c>
      <c r="Z565" s="209"/>
      <c r="AA565" s="209"/>
      <c r="AB565" s="209" t="s">
        <v>137</v>
      </c>
      <c r="AC565" s="447" t="s">
        <v>138</v>
      </c>
      <c r="AD565" s="448"/>
      <c r="AE565" s="448"/>
      <c r="AF565" s="449"/>
    </row>
    <row r="566" spans="1:32" s="20" customFormat="1" ht="30" customHeight="1">
      <c r="A566" s="231" t="str">
        <f>'[1]3.LRA'!C83</f>
        <v>Pengadaan  alat ukur</v>
      </c>
      <c r="B566" s="232"/>
      <c r="C566" s="232"/>
      <c r="D566" s="233"/>
      <c r="E566" s="450">
        <v>0</v>
      </c>
      <c r="F566" s="114"/>
      <c r="G566" s="114"/>
      <c r="H566" s="114"/>
      <c r="I566" s="114"/>
      <c r="J566" s="450">
        <v>0</v>
      </c>
      <c r="K566" s="114"/>
      <c r="L566" s="114"/>
      <c r="M566" s="114"/>
      <c r="N566" s="114"/>
      <c r="O566" s="450">
        <f>'[1]3.LRA'!I83</f>
        <v>8000000</v>
      </c>
      <c r="P566" s="114"/>
      <c r="Q566" s="114"/>
      <c r="R566" s="114"/>
      <c r="S566" s="114"/>
      <c r="T566" s="338">
        <f>(J566-O566)/O566*100</f>
        <v>-100</v>
      </c>
      <c r="U566" s="339"/>
      <c r="V566" s="204" t="e">
        <f>J566/E566*100</f>
        <v>#DIV/0!</v>
      </c>
      <c r="W566" s="205"/>
      <c r="X566" s="205"/>
      <c r="Y566" s="208">
        <f>E566-J566</f>
        <v>0</v>
      </c>
      <c r="Z566" s="209"/>
      <c r="AA566" s="209"/>
      <c r="AB566" s="209"/>
      <c r="AC566" s="451">
        <f>J566-O566</f>
        <v>-8000000</v>
      </c>
      <c r="AD566" s="452"/>
      <c r="AE566" s="452"/>
      <c r="AF566" s="453"/>
    </row>
    <row r="567" spans="1:32" s="20" customFormat="1" ht="16.5" customHeight="1">
      <c r="A567" s="231" t="s">
        <v>251</v>
      </c>
      <c r="B567" s="232" t="s">
        <v>251</v>
      </c>
      <c r="C567" s="232" t="s">
        <v>251</v>
      </c>
      <c r="D567" s="233" t="s">
        <v>251</v>
      </c>
      <c r="E567" s="450">
        <v>0</v>
      </c>
      <c r="F567" s="114"/>
      <c r="G567" s="114"/>
      <c r="H567" s="114"/>
      <c r="I567" s="114"/>
      <c r="J567" s="450">
        <v>0</v>
      </c>
      <c r="K567" s="114"/>
      <c r="L567" s="114"/>
      <c r="M567" s="114"/>
      <c r="N567" s="114"/>
      <c r="O567" s="450">
        <v>0</v>
      </c>
      <c r="P567" s="114"/>
      <c r="Q567" s="114"/>
      <c r="R567" s="114"/>
      <c r="S567" s="114"/>
      <c r="T567" s="338">
        <v>0</v>
      </c>
      <c r="U567" s="339"/>
      <c r="V567" s="204" t="e">
        <f>J567/E567*100</f>
        <v>#DIV/0!</v>
      </c>
      <c r="W567" s="205"/>
      <c r="X567" s="205"/>
      <c r="Y567" s="208">
        <f>E567-J567</f>
        <v>0</v>
      </c>
      <c r="Z567" s="209"/>
      <c r="AA567" s="209"/>
      <c r="AB567" s="209"/>
      <c r="AC567" s="451">
        <f>J567-O567</f>
        <v>0</v>
      </c>
      <c r="AD567" s="452"/>
      <c r="AE567" s="452"/>
      <c r="AF567" s="453"/>
    </row>
    <row r="568" spans="1:32" s="20" customFormat="1" ht="35.25" customHeight="1">
      <c r="A568" s="303" t="s">
        <v>143</v>
      </c>
      <c r="B568" s="304"/>
      <c r="C568" s="304"/>
      <c r="D568" s="305"/>
      <c r="E568" s="456">
        <f>SUM(E566:I567)</f>
        <v>0</v>
      </c>
      <c r="F568" s="457"/>
      <c r="G568" s="457"/>
      <c r="H568" s="457"/>
      <c r="I568" s="458"/>
      <c r="J568" s="456">
        <f>SUM(J566:N567)</f>
        <v>0</v>
      </c>
      <c r="K568" s="457"/>
      <c r="L568" s="457"/>
      <c r="M568" s="457"/>
      <c r="N568" s="458"/>
      <c r="O568" s="456">
        <f>SUM(O566:S567)</f>
        <v>8000000</v>
      </c>
      <c r="P568" s="457"/>
      <c r="Q568" s="457"/>
      <c r="R568" s="457"/>
      <c r="S568" s="458"/>
      <c r="T568" s="338">
        <f>(J568-O568)/O568*100</f>
        <v>-100</v>
      </c>
      <c r="U568" s="339"/>
      <c r="V568" s="467"/>
      <c r="W568" s="205"/>
      <c r="X568" s="205"/>
      <c r="Y568" s="208">
        <f>E568-J568</f>
        <v>0</v>
      </c>
      <c r="Z568" s="209"/>
      <c r="AA568" s="209"/>
      <c r="AB568" s="209"/>
      <c r="AC568" s="451">
        <f>J568-O568</f>
        <v>-8000000</v>
      </c>
      <c r="AD568" s="452"/>
      <c r="AE568" s="452"/>
      <c r="AF568" s="453"/>
    </row>
    <row r="569" spans="1:32" s="20" customFormat="1" ht="16.5" customHeight="1">
      <c r="A569" s="18"/>
      <c r="B569" s="441"/>
      <c r="C569" s="441"/>
      <c r="D569" s="441"/>
      <c r="E569" s="466"/>
      <c r="F569" s="466"/>
      <c r="G569" s="466"/>
      <c r="H569" s="466"/>
      <c r="I569" s="466"/>
      <c r="J569" s="466"/>
      <c r="K569" s="466"/>
      <c r="L569" s="466"/>
      <c r="M569" s="466"/>
      <c r="N569" s="466"/>
      <c r="O569" s="466"/>
      <c r="P569" s="466"/>
      <c r="Q569" s="466"/>
      <c r="R569" s="466"/>
      <c r="S569" s="466"/>
      <c r="T569" s="466"/>
      <c r="U569" s="466"/>
      <c r="V569" s="27"/>
    </row>
    <row r="570" spans="1:32" s="20" customFormat="1" ht="26.25" customHeight="1">
      <c r="A570" s="18"/>
      <c r="B570" s="441"/>
      <c r="C570" s="441"/>
      <c r="D570" s="441">
        <f>D561+1</f>
        <v>9</v>
      </c>
      <c r="E570" s="460" t="s">
        <v>252</v>
      </c>
      <c r="F570" s="460"/>
      <c r="G570" s="460"/>
      <c r="H570" s="460"/>
      <c r="I570" s="460"/>
      <c r="J570" s="460"/>
      <c r="K570" s="460"/>
      <c r="L570" s="460"/>
      <c r="M570" s="460"/>
      <c r="N570" s="460"/>
      <c r="O570" s="460"/>
      <c r="P570" s="460"/>
      <c r="Q570" s="460"/>
      <c r="R570" s="460"/>
      <c r="S570" s="460"/>
      <c r="T570" s="460"/>
      <c r="U570" s="460"/>
      <c r="V570" s="27"/>
    </row>
    <row r="571" spans="1:32" s="20" customFormat="1" ht="78.75" customHeight="1">
      <c r="A571" s="18"/>
      <c r="B571" s="441"/>
      <c r="C571" s="441"/>
      <c r="D571" s="441"/>
      <c r="E571" s="428" t="str">
        <f>"Realisasi Belanja Modal Unit-unit Laboratorium TA "&amp;'[1]2.ISIAN DATA SKPD'!D11&amp;" sebesar Rp. "&amp;FIXED(J577)&amp;", atau mencapai sebesar "&amp;FIXED(V577)&amp;"% dari anggaran sebesar Rp. "&amp;FIXED(E577)&amp;", kurang dari anggaran sebesar Rp. "&amp;FIXED(Y577)&amp;". Bila dibandingkan dengan realisasi TA "&amp;'[1]2.ISIAN DATA SKPD'!D12&amp;" turun  sebesar Rp. "&amp;FIXED(AC577)&amp;" atau "&amp;FIXED(T577)&amp;"%."</f>
        <v>Realisasi Belanja Modal Unit-unit Laboratorium TA 2017 sebesar Rp. 97,688,500.00, atau mencapai sebesar 97.69% dari anggaran sebesar Rp. 100,000,000.00, kurang dari anggaran sebesar Rp. 2,311,500.00. Bila dibandingkan dengan realisasi TA 2016 turun  sebesar Rp. -3,586,500.00 atau -3.54%.</v>
      </c>
      <c r="F571" s="428"/>
      <c r="G571" s="428"/>
      <c r="H571" s="428"/>
      <c r="I571" s="428"/>
      <c r="J571" s="428"/>
      <c r="K571" s="428"/>
      <c r="L571" s="428"/>
      <c r="M571" s="428"/>
      <c r="N571" s="428"/>
      <c r="O571" s="428"/>
      <c r="P571" s="428"/>
      <c r="Q571" s="428"/>
      <c r="R571" s="428"/>
      <c r="S571" s="428"/>
      <c r="T571" s="428"/>
      <c r="U571" s="428"/>
      <c r="V571" s="27"/>
    </row>
    <row r="572" spans="1:32" s="20" customFormat="1" ht="33" customHeight="1">
      <c r="A572" s="18"/>
      <c r="B572" s="441"/>
      <c r="C572" s="441"/>
      <c r="D572" s="441"/>
      <c r="E572" s="428" t="s">
        <v>253</v>
      </c>
      <c r="F572" s="428"/>
      <c r="G572" s="428"/>
      <c r="H572" s="428"/>
      <c r="I572" s="428"/>
      <c r="J572" s="428"/>
      <c r="K572" s="428"/>
      <c r="L572" s="428"/>
      <c r="M572" s="428"/>
      <c r="N572" s="428"/>
      <c r="O572" s="428"/>
      <c r="P572" s="428"/>
      <c r="Q572" s="428"/>
      <c r="R572" s="428"/>
      <c r="S572" s="428"/>
      <c r="T572" s="428"/>
      <c r="U572" s="428"/>
      <c r="V572" s="27"/>
    </row>
    <row r="573" spans="1:32" s="20" customFormat="1" ht="16.5" customHeight="1">
      <c r="A573" s="18"/>
      <c r="B573" s="441"/>
      <c r="C573" s="441"/>
      <c r="D573" s="441"/>
      <c r="E573" s="429"/>
      <c r="F573" s="429"/>
      <c r="G573" s="429"/>
      <c r="H573" s="429"/>
      <c r="I573" s="429"/>
      <c r="J573" s="429"/>
      <c r="K573" s="429"/>
      <c r="L573" s="429"/>
      <c r="M573" s="429"/>
      <c r="N573" s="429"/>
      <c r="O573" s="429"/>
      <c r="P573" s="429"/>
      <c r="Q573" s="429"/>
      <c r="R573" s="429"/>
      <c r="S573" s="429"/>
      <c r="T573" s="429"/>
      <c r="U573" s="429"/>
      <c r="V573" s="27"/>
    </row>
    <row r="574" spans="1:32" s="20" customFormat="1" ht="38.25" customHeight="1">
      <c r="A574" s="174" t="str">
        <f>E570</f>
        <v>Belanja Modal Pengadaan Unit -Unit Laboratorium</v>
      </c>
      <c r="B574" s="175"/>
      <c r="C574" s="175"/>
      <c r="D574" s="176"/>
      <c r="E574" s="387" t="str">
        <f>E565</f>
        <v>Anggaran</v>
      </c>
      <c r="F574" s="387"/>
      <c r="G574" s="387"/>
      <c r="H574" s="387"/>
      <c r="I574" s="387"/>
      <c r="J574" s="387" t="str">
        <f>J565</f>
        <v>Realisasi                      TA 2017</v>
      </c>
      <c r="K574" s="387"/>
      <c r="L574" s="387"/>
      <c r="M574" s="387"/>
      <c r="N574" s="387"/>
      <c r="O574" s="387" t="str">
        <f>O565</f>
        <v>Realisasi                   TA 2016</v>
      </c>
      <c r="P574" s="387"/>
      <c r="Q574" s="387"/>
      <c r="R574" s="387"/>
      <c r="S574" s="387"/>
      <c r="T574" s="408" t="s">
        <v>185</v>
      </c>
      <c r="U574" s="409"/>
      <c r="V574" s="431" t="s">
        <v>137</v>
      </c>
      <c r="W574" s="432"/>
      <c r="X574" s="432"/>
      <c r="Y574" s="433" t="s">
        <v>136</v>
      </c>
      <c r="Z574" s="209"/>
      <c r="AA574" s="209"/>
      <c r="AB574" s="209" t="s">
        <v>137</v>
      </c>
      <c r="AC574" s="447" t="s">
        <v>138</v>
      </c>
      <c r="AD574" s="448"/>
      <c r="AE574" s="448"/>
      <c r="AF574" s="449"/>
    </row>
    <row r="575" spans="1:32" s="20" customFormat="1" ht="32.25" customHeight="1">
      <c r="A575" s="468" t="s">
        <v>254</v>
      </c>
      <c r="B575" s="469"/>
      <c r="C575" s="469"/>
      <c r="D575" s="470"/>
      <c r="E575" s="450">
        <f>'[1]3.LRA'!D84</f>
        <v>100000000</v>
      </c>
      <c r="F575" s="114"/>
      <c r="G575" s="114"/>
      <c r="H575" s="114"/>
      <c r="I575" s="114"/>
      <c r="J575" s="450">
        <f>'[1]3.LRA'!E84</f>
        <v>97688500</v>
      </c>
      <c r="K575" s="114"/>
      <c r="L575" s="114"/>
      <c r="M575" s="114"/>
      <c r="N575" s="114"/>
      <c r="O575" s="450">
        <f>'[1]3.LRA'!I84</f>
        <v>101275000</v>
      </c>
      <c r="P575" s="114"/>
      <c r="Q575" s="114"/>
      <c r="R575" s="114"/>
      <c r="S575" s="114"/>
      <c r="T575" s="338">
        <f>(J575-O575)/O575*100</f>
        <v>-3.5413478153542335</v>
      </c>
      <c r="U575" s="339"/>
      <c r="V575" s="204">
        <f>J575/E575*100</f>
        <v>97.688500000000005</v>
      </c>
      <c r="W575" s="205"/>
      <c r="X575" s="205"/>
      <c r="Y575" s="208">
        <f>E575-J575</f>
        <v>2311500</v>
      </c>
      <c r="Z575" s="209"/>
      <c r="AA575" s="209"/>
      <c r="AB575" s="209"/>
      <c r="AC575" s="451">
        <f>J575-O575</f>
        <v>-3586500</v>
      </c>
      <c r="AD575" s="452"/>
      <c r="AE575" s="452"/>
      <c r="AF575" s="453"/>
    </row>
    <row r="576" spans="1:32" s="20" customFormat="1" ht="18.75" customHeight="1">
      <c r="A576" s="468" t="s">
        <v>11</v>
      </c>
      <c r="B576" s="469"/>
      <c r="C576" s="469"/>
      <c r="D576" s="470"/>
      <c r="E576" s="450">
        <v>0</v>
      </c>
      <c r="F576" s="114"/>
      <c r="G576" s="114"/>
      <c r="H576" s="114"/>
      <c r="I576" s="114"/>
      <c r="J576" s="450">
        <v>0</v>
      </c>
      <c r="K576" s="114"/>
      <c r="L576" s="114"/>
      <c r="M576" s="114"/>
      <c r="N576" s="114"/>
      <c r="O576" s="450">
        <v>0</v>
      </c>
      <c r="P576" s="114"/>
      <c r="Q576" s="114"/>
      <c r="R576" s="114"/>
      <c r="S576" s="114"/>
      <c r="T576" s="338"/>
      <c r="U576" s="339"/>
      <c r="V576" s="204" t="e">
        <f>J576/E576*100</f>
        <v>#DIV/0!</v>
      </c>
      <c r="W576" s="205"/>
      <c r="X576" s="205"/>
      <c r="Y576" s="208">
        <f>E576-J576</f>
        <v>0</v>
      </c>
      <c r="Z576" s="209"/>
      <c r="AA576" s="209"/>
      <c r="AB576" s="209"/>
      <c r="AC576" s="451">
        <f>J576-O576</f>
        <v>0</v>
      </c>
      <c r="AD576" s="452"/>
      <c r="AE576" s="452"/>
      <c r="AF576" s="453"/>
    </row>
    <row r="577" spans="1:37" s="20" customFormat="1" ht="30.75" customHeight="1">
      <c r="A577" s="303" t="s">
        <v>143</v>
      </c>
      <c r="B577" s="304"/>
      <c r="C577" s="304"/>
      <c r="D577" s="305"/>
      <c r="E577" s="456">
        <f>SUM(E575:I576)</f>
        <v>100000000</v>
      </c>
      <c r="F577" s="457"/>
      <c r="G577" s="457"/>
      <c r="H577" s="457"/>
      <c r="I577" s="458"/>
      <c r="J577" s="456">
        <f>SUM(J575:N576)</f>
        <v>97688500</v>
      </c>
      <c r="K577" s="457"/>
      <c r="L577" s="457"/>
      <c r="M577" s="457"/>
      <c r="N577" s="458"/>
      <c r="O577" s="456">
        <f>SUM(O575:S576)</f>
        <v>101275000</v>
      </c>
      <c r="P577" s="457"/>
      <c r="Q577" s="457"/>
      <c r="R577" s="457"/>
      <c r="S577" s="458"/>
      <c r="T577" s="338">
        <f>(J577-O577)/O577*100</f>
        <v>-3.5413478153542335</v>
      </c>
      <c r="U577" s="339"/>
      <c r="V577" s="204">
        <f>J577/E577*100</f>
        <v>97.688500000000005</v>
      </c>
      <c r="W577" s="205"/>
      <c r="X577" s="205"/>
      <c r="Y577" s="208">
        <f>E577-J577</f>
        <v>2311500</v>
      </c>
      <c r="Z577" s="209"/>
      <c r="AA577" s="209"/>
      <c r="AB577" s="209"/>
      <c r="AC577" s="451">
        <f>J577-O577</f>
        <v>-3586500</v>
      </c>
      <c r="AD577" s="452"/>
      <c r="AE577" s="452"/>
      <c r="AF577" s="453"/>
    </row>
    <row r="578" spans="1:37" s="20" customFormat="1" ht="9.75" customHeight="1">
      <c r="A578" s="18"/>
      <c r="B578" s="441"/>
      <c r="C578" s="441"/>
      <c r="D578" s="441"/>
      <c r="E578" s="441"/>
      <c r="F578" s="441"/>
      <c r="G578" s="441"/>
      <c r="H578" s="441"/>
      <c r="I578" s="441"/>
      <c r="J578" s="442"/>
      <c r="K578" s="442"/>
      <c r="L578" s="442"/>
      <c r="M578" s="442"/>
      <c r="N578" s="442"/>
      <c r="O578" s="442"/>
      <c r="P578" s="442"/>
      <c r="Q578" s="442"/>
      <c r="R578" s="442"/>
      <c r="S578" s="442"/>
      <c r="T578" s="443"/>
      <c r="U578" s="443"/>
      <c r="V578" s="27"/>
    </row>
    <row r="579" spans="1:37" s="20" customFormat="1" ht="24" customHeight="1">
      <c r="A579" s="18"/>
      <c r="B579" s="27"/>
      <c r="D579" s="359" t="s">
        <v>165</v>
      </c>
      <c r="E579" s="359" t="s">
        <v>255</v>
      </c>
      <c r="F579" s="27"/>
      <c r="G579" s="27"/>
      <c r="H579" s="27"/>
      <c r="I579" s="27"/>
      <c r="J579" s="27"/>
      <c r="K579" s="27"/>
      <c r="L579" s="37"/>
      <c r="M579" s="37"/>
      <c r="N579" s="37"/>
      <c r="O579" s="37"/>
      <c r="P579" s="37"/>
      <c r="Q579" s="37"/>
      <c r="R579" s="37"/>
      <c r="S579" s="37"/>
      <c r="T579" s="24"/>
      <c r="U579" s="24"/>
      <c r="V579" s="27"/>
    </row>
    <row r="580" spans="1:37" s="20" customFormat="1" ht="95.25" customHeight="1">
      <c r="A580" s="18"/>
      <c r="C580" s="37"/>
      <c r="E580" s="428" t="str">
        <f>"Realisasi Belanja Modal Gedung dan Bangunan TA "&amp;'[1]2.ISIAN DATA SKPD'!D11&amp;" sebesar Rp. "&amp;FIXED(J587)&amp;", atau mencapai sebesar "&amp;FIXED(V587)&amp;"% dari anggaran sebesar Rp. "&amp;FIXED(D587)&amp;", kurang dari anggaran sebesar Rp. "&amp;FIXED(Y587)&amp;". Bila dibandingkan dengan realisasi TA "&amp;'[1]2.ISIAN DATA SKPD'!D12&amp;" turun sebesar Rp. "&amp;FIXED(AC587)&amp;" atau "&amp;FIXED(T587)&amp;"% "</f>
        <v xml:space="preserve">Realisasi Belanja Modal Gedung dan Bangunan TA 2017 sebesar Rp. 688,904,500.00, atau mencapai sebesar 78.73% dari anggaran sebesar Rp. 875,000,000.00, kurang dari anggaran sebesar Rp. -688,904,500.00. Bila dibandingkan dengan realisasi TA 2016 turun sebesar Rp. -748,188,499.00 atau -52.06% </v>
      </c>
      <c r="F580" s="428"/>
      <c r="G580" s="428"/>
      <c r="H580" s="428"/>
      <c r="I580" s="428"/>
      <c r="J580" s="428"/>
      <c r="K580" s="428"/>
      <c r="L580" s="428"/>
      <c r="M580" s="428"/>
      <c r="N580" s="428"/>
      <c r="O580" s="428"/>
      <c r="P580" s="428"/>
      <c r="Q580" s="428"/>
      <c r="R580" s="428"/>
      <c r="S580" s="428"/>
      <c r="T580" s="428"/>
      <c r="U580" s="428"/>
      <c r="V580" s="27"/>
    </row>
    <row r="581" spans="1:37" s="20" customFormat="1" ht="46.5" customHeight="1">
      <c r="A581" s="18"/>
      <c r="C581" s="471"/>
      <c r="D581" s="471"/>
      <c r="E581" s="472" t="str">
        <f>"Perbandingan Realisasi Belanja Modal Gedung dan Bangunan                                          TA "&amp;'[1]2.ISIAN DATA SKPD'!D11&amp;" dan "&amp;'[1]2.ISIAN DATA SKPD'!D12&amp;""</f>
        <v>Perbandingan Realisasi Belanja Modal Gedung dan Bangunan                                          TA 2017 dan 2016</v>
      </c>
      <c r="F581" s="472"/>
      <c r="G581" s="472"/>
      <c r="H581" s="472"/>
      <c r="I581" s="472"/>
      <c r="J581" s="472"/>
      <c r="K581" s="472"/>
      <c r="L581" s="472"/>
      <c r="M581" s="472"/>
      <c r="N581" s="472"/>
      <c r="O581" s="472"/>
      <c r="P581" s="472"/>
      <c r="Q581" s="472"/>
      <c r="R581" s="472"/>
      <c r="S581" s="472"/>
      <c r="T581" s="472"/>
      <c r="U581" s="472"/>
      <c r="V581" s="27"/>
    </row>
    <row r="582" spans="1:37" s="20" customFormat="1" ht="38.25" customHeight="1">
      <c r="A582" s="303" t="s">
        <v>256</v>
      </c>
      <c r="B582" s="304"/>
      <c r="C582" s="305"/>
      <c r="D582" s="303" t="s">
        <v>130</v>
      </c>
      <c r="E582" s="304"/>
      <c r="F582" s="304"/>
      <c r="G582" s="304"/>
      <c r="H582" s="304"/>
      <c r="I582" s="305"/>
      <c r="J582" s="58" t="str">
        <f>J465</f>
        <v>Realisasi                      TA 2017</v>
      </c>
      <c r="K582" s="59"/>
      <c r="L582" s="59"/>
      <c r="M582" s="59"/>
      <c r="N582" s="60"/>
      <c r="O582" s="58" t="str">
        <f>O465</f>
        <v>Realisasi                   TA 2016</v>
      </c>
      <c r="P582" s="59"/>
      <c r="Q582" s="59"/>
      <c r="R582" s="59"/>
      <c r="S582" s="60"/>
      <c r="T582" s="324" t="s">
        <v>185</v>
      </c>
      <c r="U582" s="361"/>
      <c r="V582" s="431" t="s">
        <v>137</v>
      </c>
      <c r="W582" s="432"/>
      <c r="X582" s="432"/>
      <c r="Y582" s="433" t="s">
        <v>136</v>
      </c>
      <c r="Z582" s="209"/>
      <c r="AA582" s="209"/>
      <c r="AB582" s="209" t="s">
        <v>137</v>
      </c>
      <c r="AC582" s="447" t="s">
        <v>138</v>
      </c>
      <c r="AD582" s="448"/>
      <c r="AE582" s="448"/>
      <c r="AF582" s="449"/>
    </row>
    <row r="583" spans="1:37" s="20" customFormat="1" ht="33" customHeight="1">
      <c r="A583" s="473" t="s">
        <v>257</v>
      </c>
      <c r="B583" s="474" t="s">
        <v>257</v>
      </c>
      <c r="C583" s="475" t="s">
        <v>257</v>
      </c>
      <c r="D583" s="476">
        <f>'[1]3.LRA'!D86</f>
        <v>875000000</v>
      </c>
      <c r="E583" s="477"/>
      <c r="F583" s="477"/>
      <c r="G583" s="477"/>
      <c r="H583" s="477"/>
      <c r="I583" s="478"/>
      <c r="J583" s="476">
        <f>'[1]3.LRA'!E86</f>
        <v>688904500</v>
      </c>
      <c r="K583" s="477"/>
      <c r="L583" s="477"/>
      <c r="M583" s="477"/>
      <c r="N583" s="477"/>
      <c r="O583" s="476">
        <f>'[1]3.LRA'!I86</f>
        <v>1437092999</v>
      </c>
      <c r="P583" s="477"/>
      <c r="Q583" s="477"/>
      <c r="R583" s="477"/>
      <c r="S583" s="477"/>
      <c r="T583" s="338">
        <f>(J583-O583)/O583*100</f>
        <v>-52.062636135631188</v>
      </c>
      <c r="U583" s="339"/>
      <c r="V583" s="204">
        <f>J583/D583*100</f>
        <v>78.731942857142855</v>
      </c>
      <c r="W583" s="205"/>
      <c r="X583" s="205"/>
      <c r="Y583" s="208">
        <f>D583-J583</f>
        <v>186095500</v>
      </c>
      <c r="Z583" s="209"/>
      <c r="AA583" s="209"/>
      <c r="AB583" s="209"/>
      <c r="AC583" s="451">
        <f>J583-O583</f>
        <v>-748188499</v>
      </c>
      <c r="AD583" s="452"/>
      <c r="AE583" s="452"/>
      <c r="AF583" s="453"/>
    </row>
    <row r="584" spans="1:37" s="20" customFormat="1" ht="35.25" customHeight="1">
      <c r="A584" s="473" t="s">
        <v>258</v>
      </c>
      <c r="B584" s="474" t="s">
        <v>258</v>
      </c>
      <c r="C584" s="475" t="s">
        <v>258</v>
      </c>
      <c r="D584" s="476">
        <v>0</v>
      </c>
      <c r="E584" s="477"/>
      <c r="F584" s="477"/>
      <c r="G584" s="477"/>
      <c r="H584" s="477"/>
      <c r="I584" s="478"/>
      <c r="J584" s="476">
        <v>0</v>
      </c>
      <c r="K584" s="477"/>
      <c r="L584" s="477"/>
      <c r="M584" s="477"/>
      <c r="N584" s="477"/>
      <c r="O584" s="476">
        <v>0</v>
      </c>
      <c r="P584" s="477"/>
      <c r="Q584" s="477"/>
      <c r="R584" s="477"/>
      <c r="S584" s="477"/>
      <c r="T584" s="338">
        <v>0</v>
      </c>
      <c r="U584" s="339"/>
      <c r="V584" s="204" t="e">
        <f>J584/D584*100</f>
        <v>#DIV/0!</v>
      </c>
      <c r="W584" s="205"/>
      <c r="X584" s="205"/>
      <c r="Y584" s="208">
        <f>E584-J584</f>
        <v>0</v>
      </c>
      <c r="Z584" s="209"/>
      <c r="AA584" s="209"/>
      <c r="AB584" s="209"/>
      <c r="AC584" s="451">
        <f>J584-O584</f>
        <v>0</v>
      </c>
      <c r="AD584" s="452"/>
      <c r="AE584" s="452"/>
      <c r="AF584" s="453"/>
    </row>
    <row r="585" spans="1:37" s="20" customFormat="1" ht="36" customHeight="1">
      <c r="A585" s="473" t="s">
        <v>259</v>
      </c>
      <c r="B585" s="474" t="s">
        <v>259</v>
      </c>
      <c r="C585" s="475" t="s">
        <v>259</v>
      </c>
      <c r="D585" s="476">
        <v>0</v>
      </c>
      <c r="E585" s="477"/>
      <c r="F585" s="477"/>
      <c r="G585" s="477"/>
      <c r="H585" s="477"/>
      <c r="I585" s="478"/>
      <c r="J585" s="476">
        <v>0</v>
      </c>
      <c r="K585" s="477"/>
      <c r="L585" s="477"/>
      <c r="M585" s="477"/>
      <c r="N585" s="477"/>
      <c r="O585" s="476">
        <v>0</v>
      </c>
      <c r="P585" s="477"/>
      <c r="Q585" s="477"/>
      <c r="R585" s="477"/>
      <c r="S585" s="477"/>
      <c r="T585" s="338">
        <v>0</v>
      </c>
      <c r="U585" s="339"/>
      <c r="V585" s="204" t="e">
        <f>J585/D585*100</f>
        <v>#DIV/0!</v>
      </c>
      <c r="W585" s="205"/>
      <c r="X585" s="205"/>
      <c r="Y585" s="208">
        <f>E585-J585</f>
        <v>0</v>
      </c>
      <c r="Z585" s="209"/>
      <c r="AA585" s="209"/>
      <c r="AB585" s="209"/>
      <c r="AC585" s="451">
        <f>J585-O585</f>
        <v>0</v>
      </c>
      <c r="AD585" s="452"/>
      <c r="AE585" s="452"/>
      <c r="AF585" s="453"/>
    </row>
    <row r="586" spans="1:37" s="20" customFormat="1" ht="29.25" customHeight="1">
      <c r="A586" s="473" t="s">
        <v>260</v>
      </c>
      <c r="B586" s="474" t="s">
        <v>260</v>
      </c>
      <c r="C586" s="475" t="s">
        <v>260</v>
      </c>
      <c r="D586" s="476">
        <v>0</v>
      </c>
      <c r="E586" s="477"/>
      <c r="F586" s="477"/>
      <c r="G586" s="477"/>
      <c r="H586" s="477"/>
      <c r="I586" s="478"/>
      <c r="J586" s="476">
        <v>0</v>
      </c>
      <c r="K586" s="477"/>
      <c r="L586" s="477"/>
      <c r="M586" s="477"/>
      <c r="N586" s="477"/>
      <c r="O586" s="476">
        <v>0</v>
      </c>
      <c r="P586" s="477"/>
      <c r="Q586" s="477"/>
      <c r="R586" s="477"/>
      <c r="S586" s="477"/>
      <c r="T586" s="338">
        <v>0</v>
      </c>
      <c r="U586" s="339"/>
      <c r="V586" s="204" t="e">
        <f>J586/D586*100</f>
        <v>#DIV/0!</v>
      </c>
      <c r="W586" s="205"/>
      <c r="X586" s="205"/>
      <c r="Y586" s="208">
        <f>E586-J586</f>
        <v>0</v>
      </c>
      <c r="Z586" s="209"/>
      <c r="AA586" s="209"/>
      <c r="AB586" s="209"/>
      <c r="AC586" s="451">
        <f>J586-O586</f>
        <v>0</v>
      </c>
      <c r="AD586" s="452"/>
      <c r="AE586" s="452"/>
      <c r="AF586" s="453"/>
    </row>
    <row r="587" spans="1:37" s="20" customFormat="1" ht="20.25" customHeight="1">
      <c r="A587" s="411" t="s">
        <v>143</v>
      </c>
      <c r="B587" s="454"/>
      <c r="C587" s="455"/>
      <c r="D587" s="479">
        <f>SUM(D583:I586)</f>
        <v>875000000</v>
      </c>
      <c r="E587" s="480"/>
      <c r="F587" s="480"/>
      <c r="G587" s="480"/>
      <c r="H587" s="480"/>
      <c r="I587" s="481"/>
      <c r="J587" s="456">
        <f>SUM(J583:N586)</f>
        <v>688904500</v>
      </c>
      <c r="K587" s="482"/>
      <c r="L587" s="482"/>
      <c r="M587" s="482"/>
      <c r="N587" s="482"/>
      <c r="O587" s="456">
        <f>SUM(O583:S586)</f>
        <v>1437092999</v>
      </c>
      <c r="P587" s="482"/>
      <c r="Q587" s="482"/>
      <c r="R587" s="482"/>
      <c r="S587" s="482"/>
      <c r="T587" s="338">
        <f>(J587-O587)/O587*100</f>
        <v>-52.062636135631188</v>
      </c>
      <c r="U587" s="339"/>
      <c r="V587" s="204">
        <f>J587/D587*100</f>
        <v>78.731942857142855</v>
      </c>
      <c r="W587" s="205"/>
      <c r="X587" s="205"/>
      <c r="Y587" s="208">
        <f>E587-J587</f>
        <v>-688904500</v>
      </c>
      <c r="Z587" s="209"/>
      <c r="AA587" s="209"/>
      <c r="AB587" s="209"/>
      <c r="AC587" s="451">
        <f>J587-O587</f>
        <v>-748188499</v>
      </c>
      <c r="AD587" s="452"/>
      <c r="AE587" s="452"/>
      <c r="AF587" s="453"/>
    </row>
    <row r="588" spans="1:37" s="20" customFormat="1" ht="19.5" customHeight="1">
      <c r="A588" s="18"/>
      <c r="B588" s="126"/>
      <c r="C588" s="126"/>
      <c r="D588" s="126"/>
      <c r="E588" s="126"/>
      <c r="F588" s="126"/>
      <c r="G588" s="126"/>
      <c r="H588" s="126"/>
      <c r="I588" s="126"/>
      <c r="J588" s="483"/>
      <c r="K588" s="483"/>
      <c r="L588" s="483"/>
      <c r="M588" s="483"/>
      <c r="N588" s="483"/>
      <c r="O588" s="483"/>
      <c r="P588" s="483"/>
      <c r="Q588" s="483"/>
      <c r="R588" s="483"/>
      <c r="S588" s="483"/>
      <c r="T588" s="484"/>
      <c r="U588" s="484"/>
      <c r="V588" s="27"/>
    </row>
    <row r="589" spans="1:37" s="20" customFormat="1" ht="75" customHeight="1">
      <c r="A589" s="18"/>
      <c r="B589" s="126"/>
      <c r="C589" s="126"/>
      <c r="D589" s="152" t="s">
        <v>261</v>
      </c>
      <c r="E589" s="152"/>
      <c r="F589" s="152"/>
      <c r="G589" s="152"/>
      <c r="H589" s="152"/>
      <c r="I589" s="152"/>
      <c r="J589" s="152"/>
      <c r="K589" s="152"/>
      <c r="L589" s="152"/>
      <c r="M589" s="152"/>
      <c r="N589" s="152"/>
      <c r="O589" s="152"/>
      <c r="P589" s="152"/>
      <c r="Q589" s="152"/>
      <c r="R589" s="152"/>
      <c r="S589" s="152"/>
      <c r="T589" s="152"/>
      <c r="U589" s="152"/>
      <c r="V589" s="357"/>
      <c r="W589" s="357"/>
      <c r="X589" s="357"/>
      <c r="Y589" s="357"/>
      <c r="Z589" s="357"/>
      <c r="AA589" s="357"/>
      <c r="AB589" s="357"/>
      <c r="AC589" s="357"/>
      <c r="AD589" s="357"/>
      <c r="AE589" s="357"/>
      <c r="AF589" s="357"/>
    </row>
    <row r="590" spans="1:37" s="20" customFormat="1" ht="22.5" customHeight="1">
      <c r="A590" s="18"/>
      <c r="B590" s="126"/>
      <c r="C590" s="126"/>
      <c r="D590" s="357"/>
      <c r="E590" s="357"/>
      <c r="F590" s="357"/>
      <c r="G590" s="357"/>
      <c r="H590" s="357"/>
      <c r="I590" s="357"/>
      <c r="J590" s="357"/>
      <c r="K590" s="357"/>
      <c r="L590" s="357"/>
      <c r="M590" s="357"/>
      <c r="N590" s="357"/>
      <c r="O590" s="357"/>
      <c r="P590" s="357"/>
      <c r="Q590" s="357"/>
      <c r="R590" s="357"/>
      <c r="S590" s="357"/>
      <c r="T590" s="357"/>
      <c r="U590" s="429"/>
      <c r="V590" s="357"/>
      <c r="W590" s="357"/>
      <c r="X590" s="357"/>
      <c r="Y590" s="357"/>
      <c r="Z590" s="357"/>
      <c r="AA590" s="357"/>
      <c r="AB590" s="357"/>
      <c r="AC590" s="357"/>
      <c r="AD590" s="357"/>
      <c r="AE590" s="357"/>
      <c r="AF590" s="357"/>
    </row>
    <row r="591" spans="1:37" s="20" customFormat="1" ht="24.75" customHeight="1">
      <c r="A591" s="18"/>
      <c r="B591" s="27"/>
      <c r="D591" s="359" t="s">
        <v>262</v>
      </c>
      <c r="E591" s="359" t="s">
        <v>263</v>
      </c>
      <c r="F591" s="359"/>
      <c r="G591" s="359"/>
      <c r="H591" s="359"/>
      <c r="I591" s="359"/>
      <c r="J591" s="359"/>
      <c r="K591" s="359"/>
      <c r="L591" s="485"/>
      <c r="M591" s="485"/>
      <c r="N591" s="485"/>
      <c r="O591" s="485"/>
      <c r="P591" s="485"/>
      <c r="Q591" s="37"/>
      <c r="R591" s="37"/>
      <c r="S591" s="37"/>
      <c r="T591" s="24"/>
      <c r="U591" s="24"/>
      <c r="V591" s="27"/>
    </row>
    <row r="592" spans="1:37" s="20" customFormat="1" ht="128.25" customHeight="1">
      <c r="A592" s="18"/>
      <c r="C592" s="37"/>
      <c r="E592" s="428" t="str">
        <f>"Realisasi Belanja Modal Jalan Irigasi dan Jaringan TA "&amp;'[1]2.ISIAN DATA SKPD'!D11&amp;" adalah sebesar Rp. "&amp;FIXED(J598)&amp;", atau sebesar "&amp;FIXED(V598)&amp;"% dari anggaran sebesar Rp. "&amp;FIXED(E598)&amp;", atau kurang dari anggaran sebesar Rp. "&amp;FIXED(Y598)&amp;". Realisasi belanja modal jalan irigasi dan jaringan tersebut mengalami penurunan sebesar  "&amp;FIXED(T598)&amp;"% bila dibandingkan dengan realisasi TA "&amp;'[1]2.ISIAN DATA SKPD'!D12&amp;" atau sebesar Rp. "&amp;FIXED(AC598)&amp;"."</f>
        <v>Realisasi Belanja Modal Jalan Irigasi dan Jaringan TA 2017 adalah sebesar Rp. 96,693,116,460.00, atau sebesar 92.58% dari anggaran sebesar Rp. 104,446,431,500.00, atau kurang dari anggaran sebesar Rp. 7,753,315,040.00. Realisasi belanja modal jalan irigasi dan jaringan tersebut mengalami penurunan sebesar  -18.70% bila dibandingkan dengan realisasi TA 2016 atau sebesar Rp. -18,082,691,791.00.</v>
      </c>
      <c r="F592" s="428"/>
      <c r="G592" s="428"/>
      <c r="H592" s="428"/>
      <c r="I592" s="428"/>
      <c r="J592" s="428"/>
      <c r="K592" s="428"/>
      <c r="L592" s="428"/>
      <c r="M592" s="428"/>
      <c r="N592" s="428"/>
      <c r="O592" s="428"/>
      <c r="P592" s="428"/>
      <c r="Q592" s="428"/>
      <c r="R592" s="428"/>
      <c r="S592" s="428"/>
      <c r="T592" s="428"/>
      <c r="U592" s="428"/>
      <c r="V592" s="27"/>
      <c r="AJ592" s="357"/>
      <c r="AK592" s="357"/>
    </row>
    <row r="593" spans="1:37" s="20" customFormat="1" ht="36.75" customHeight="1">
      <c r="A593" s="18"/>
      <c r="B593" s="430" t="str">
        <f>"Perbandingan Realisasi Belanja Modal Jalan, Irigasi dan Jaringan                           TA "&amp;'[1]2.ISIAN DATA SKPD'!D11&amp;" dan "&amp;'[1]2.ISIAN DATA SKPD'!D12&amp;""</f>
        <v>Perbandingan Realisasi Belanja Modal Jalan, Irigasi dan Jaringan                           TA 2017 dan 2016</v>
      </c>
      <c r="C593" s="430"/>
      <c r="D593" s="430"/>
      <c r="E593" s="430"/>
      <c r="F593" s="430"/>
      <c r="G593" s="430"/>
      <c r="H593" s="430"/>
      <c r="I593" s="430"/>
      <c r="J593" s="430"/>
      <c r="K593" s="430"/>
      <c r="L593" s="430"/>
      <c r="M593" s="430"/>
      <c r="N593" s="430"/>
      <c r="O593" s="430"/>
      <c r="P593" s="430"/>
      <c r="Q593" s="430"/>
      <c r="R593" s="430"/>
      <c r="S593" s="430"/>
      <c r="T593" s="430"/>
      <c r="U593" s="430"/>
      <c r="V593" s="27"/>
      <c r="AG593" s="357"/>
      <c r="AH593" s="357"/>
      <c r="AI593" s="357"/>
      <c r="AJ593" s="357"/>
      <c r="AK593" s="357"/>
    </row>
    <row r="594" spans="1:37" s="20" customFormat="1" ht="22.5" customHeight="1">
      <c r="A594" s="174" t="s">
        <v>264</v>
      </c>
      <c r="B594" s="175"/>
      <c r="C594" s="175"/>
      <c r="D594" s="176"/>
      <c r="E594" s="132" t="s">
        <v>130</v>
      </c>
      <c r="F594" s="132"/>
      <c r="G594" s="132"/>
      <c r="H594" s="132"/>
      <c r="I594" s="132"/>
      <c r="J594" s="174" t="str">
        <f>J582</f>
        <v>Realisasi                      TA 2017</v>
      </c>
      <c r="K594" s="175"/>
      <c r="L594" s="175"/>
      <c r="M594" s="175"/>
      <c r="N594" s="176"/>
      <c r="O594" s="174" t="str">
        <f>O582</f>
        <v>Realisasi                   TA 2016</v>
      </c>
      <c r="P594" s="175"/>
      <c r="Q594" s="175"/>
      <c r="R594" s="175"/>
      <c r="S594" s="176"/>
      <c r="T594" s="324" t="s">
        <v>185</v>
      </c>
      <c r="U594" s="361"/>
      <c r="V594" s="431" t="s">
        <v>137</v>
      </c>
      <c r="W594" s="432"/>
      <c r="X594" s="432"/>
      <c r="Y594" s="433" t="s">
        <v>136</v>
      </c>
      <c r="Z594" s="209"/>
      <c r="AA594" s="209"/>
      <c r="AB594" s="209" t="s">
        <v>137</v>
      </c>
      <c r="AC594" s="447" t="s">
        <v>138</v>
      </c>
      <c r="AD594" s="448"/>
      <c r="AE594" s="448"/>
      <c r="AF594" s="449"/>
      <c r="AG594" s="357"/>
      <c r="AH594" s="357"/>
      <c r="AI594" s="357"/>
    </row>
    <row r="595" spans="1:37" s="20" customFormat="1" ht="28.35" customHeight="1">
      <c r="A595" s="195" t="str">
        <f>'[1]3.LRA'!C91</f>
        <v>Jalan</v>
      </c>
      <c r="B595" s="196"/>
      <c r="C595" s="196"/>
      <c r="D595" s="197"/>
      <c r="E595" s="419">
        <f>'[1]3.LRA'!D91</f>
        <v>70162817500</v>
      </c>
      <c r="F595" s="420"/>
      <c r="G595" s="420"/>
      <c r="H595" s="420"/>
      <c r="I595" s="420"/>
      <c r="J595" s="419">
        <f>'[1]3.LRA'!E91</f>
        <v>64793712885</v>
      </c>
      <c r="K595" s="420"/>
      <c r="L595" s="420"/>
      <c r="M595" s="420"/>
      <c r="N595" s="420"/>
      <c r="O595" s="419">
        <f>'[1]3.LRA'!I91</f>
        <v>87579606600</v>
      </c>
      <c r="P595" s="420"/>
      <c r="Q595" s="420"/>
      <c r="R595" s="420"/>
      <c r="S595" s="420"/>
      <c r="T595" s="486">
        <f>SUM((J595-O595)/J595)*100</f>
        <v>-35.166828231377714</v>
      </c>
      <c r="U595" s="487"/>
      <c r="V595" s="204">
        <f>J595/E595*100</f>
        <v>92.347649643630689</v>
      </c>
      <c r="W595" s="205"/>
      <c r="X595" s="205"/>
      <c r="Y595" s="208">
        <f>E595-J595</f>
        <v>5369104615</v>
      </c>
      <c r="Z595" s="209"/>
      <c r="AA595" s="209"/>
      <c r="AB595" s="209"/>
      <c r="AC595" s="451">
        <f>J595-O595</f>
        <v>-22785893715</v>
      </c>
      <c r="AD595" s="452"/>
      <c r="AE595" s="452"/>
      <c r="AF595" s="453"/>
    </row>
    <row r="596" spans="1:37" s="20" customFormat="1" ht="28.35" customHeight="1">
      <c r="A596" s="195" t="str">
        <f>'[1]3.LRA'!C92</f>
        <v>Irigasi</v>
      </c>
      <c r="B596" s="196"/>
      <c r="C596" s="196"/>
      <c r="D596" s="197"/>
      <c r="E596" s="419">
        <f>'[1]3.LRA'!D92</f>
        <v>27932864000</v>
      </c>
      <c r="F596" s="420"/>
      <c r="G596" s="420"/>
      <c r="H596" s="420"/>
      <c r="I596" s="420"/>
      <c r="J596" s="419">
        <f>'[1]3.LRA'!E92</f>
        <v>25554403575</v>
      </c>
      <c r="K596" s="420"/>
      <c r="L596" s="420"/>
      <c r="M596" s="420"/>
      <c r="N596" s="420"/>
      <c r="O596" s="419">
        <f>'[1]3.LRA'!I92</f>
        <v>22492571151</v>
      </c>
      <c r="P596" s="420"/>
      <c r="Q596" s="420"/>
      <c r="R596" s="420"/>
      <c r="S596" s="420"/>
      <c r="T596" s="486">
        <f>SUM((J596-O596)/J596)*100</f>
        <v>11.981623499894187</v>
      </c>
      <c r="U596" s="487"/>
      <c r="V596" s="204">
        <f>J596/E596*100</f>
        <v>91.48508214195293</v>
      </c>
      <c r="W596" s="205"/>
      <c r="X596" s="205"/>
      <c r="Y596" s="208">
        <f>E596-J596</f>
        <v>2378460425</v>
      </c>
      <c r="Z596" s="209"/>
      <c r="AA596" s="209"/>
      <c r="AB596" s="209"/>
      <c r="AC596" s="451">
        <f>J596-O596</f>
        <v>3061832424</v>
      </c>
      <c r="AD596" s="452"/>
      <c r="AE596" s="452"/>
      <c r="AF596" s="453"/>
    </row>
    <row r="597" spans="1:37" s="20" customFormat="1" ht="28.35" customHeight="1">
      <c r="A597" s="195" t="str">
        <f>'[1]3.LRA'!C93</f>
        <v>Jembatan</v>
      </c>
      <c r="B597" s="196"/>
      <c r="C597" s="196"/>
      <c r="D597" s="197"/>
      <c r="E597" s="419">
        <f>'[1]3.LRA'!D93</f>
        <v>6350750000</v>
      </c>
      <c r="F597" s="420"/>
      <c r="G597" s="420"/>
      <c r="H597" s="420"/>
      <c r="I597" s="420"/>
      <c r="J597" s="419">
        <f>'[1]3.LRA'!E93</f>
        <v>6345000000</v>
      </c>
      <c r="K597" s="420"/>
      <c r="L597" s="420"/>
      <c r="M597" s="420"/>
      <c r="N597" s="420"/>
      <c r="O597" s="419">
        <f>'[1]3.LRA'!I93</f>
        <v>4703630500</v>
      </c>
      <c r="P597" s="420"/>
      <c r="Q597" s="420"/>
      <c r="R597" s="420"/>
      <c r="S597" s="420"/>
      <c r="T597" s="486">
        <f>SUM((J597-O597)/J597)*100</f>
        <v>25.868707643814027</v>
      </c>
      <c r="U597" s="487"/>
      <c r="V597" s="204">
        <f>J597/E597*100</f>
        <v>99.909459512655985</v>
      </c>
      <c r="W597" s="205"/>
      <c r="X597" s="205"/>
      <c r="Y597" s="208">
        <f>E597-J597</f>
        <v>5750000</v>
      </c>
      <c r="Z597" s="209"/>
      <c r="AA597" s="209"/>
      <c r="AB597" s="209"/>
      <c r="AC597" s="451">
        <f>J597-O597</f>
        <v>1641369500</v>
      </c>
      <c r="AD597" s="452"/>
      <c r="AE597" s="452"/>
      <c r="AF597" s="453"/>
    </row>
    <row r="598" spans="1:37" s="20" customFormat="1" ht="22.5" customHeight="1">
      <c r="A598" s="174" t="s">
        <v>143</v>
      </c>
      <c r="B598" s="175"/>
      <c r="C598" s="175"/>
      <c r="D598" s="176"/>
      <c r="E598" s="365">
        <f>SUM(E595:I597)</f>
        <v>104446431500</v>
      </c>
      <c r="F598" s="368"/>
      <c r="G598" s="368"/>
      <c r="H598" s="368"/>
      <c r="I598" s="368"/>
      <c r="J598" s="365">
        <f>SUM(J595:N597)</f>
        <v>96693116460</v>
      </c>
      <c r="K598" s="368"/>
      <c r="L598" s="368"/>
      <c r="M598" s="368"/>
      <c r="N598" s="368"/>
      <c r="O598" s="365">
        <f>SUM(O595:S597)</f>
        <v>114775808251</v>
      </c>
      <c r="P598" s="368"/>
      <c r="Q598" s="368"/>
      <c r="R598" s="368"/>
      <c r="S598" s="368"/>
      <c r="T598" s="486">
        <f>SUM((J598-O598)/J598)*100</f>
        <v>-18.701115914989096</v>
      </c>
      <c r="U598" s="487"/>
      <c r="V598" s="204">
        <f>J598/E598*100</f>
        <v>92.576754486820363</v>
      </c>
      <c r="W598" s="205"/>
      <c r="X598" s="205"/>
      <c r="Y598" s="208">
        <f>E598-J598</f>
        <v>7753315040</v>
      </c>
      <c r="Z598" s="209"/>
      <c r="AA598" s="209"/>
      <c r="AB598" s="209"/>
      <c r="AC598" s="451">
        <f>J598-O598</f>
        <v>-18082691791</v>
      </c>
      <c r="AD598" s="452"/>
      <c r="AE598" s="452"/>
      <c r="AF598" s="453"/>
    </row>
    <row r="599" spans="1:37" s="20" customFormat="1" ht="8.25" customHeight="1">
      <c r="A599" s="18"/>
      <c r="B599" s="427"/>
      <c r="C599" s="427"/>
      <c r="D599" s="427"/>
      <c r="E599" s="427"/>
      <c r="F599" s="427"/>
      <c r="G599" s="427"/>
      <c r="H599" s="427"/>
      <c r="I599" s="427"/>
      <c r="J599" s="93"/>
      <c r="K599" s="93"/>
      <c r="L599" s="93"/>
      <c r="M599" s="93"/>
      <c r="N599" s="93"/>
      <c r="O599" s="93"/>
      <c r="P599" s="93"/>
      <c r="Q599" s="93"/>
      <c r="R599" s="93"/>
      <c r="S599" s="93"/>
      <c r="T599" s="488"/>
      <c r="U599" s="488"/>
      <c r="V599" s="462"/>
      <c r="W599" s="462"/>
      <c r="X599" s="462"/>
      <c r="Y599" s="463"/>
      <c r="Z599" s="464"/>
      <c r="AA599" s="464"/>
      <c r="AB599" s="464"/>
      <c r="AC599" s="465"/>
      <c r="AD599" s="465"/>
      <c r="AE599" s="465"/>
      <c r="AF599" s="465"/>
    </row>
    <row r="600" spans="1:37" s="20" customFormat="1" ht="19.5" customHeight="1">
      <c r="A600" s="18"/>
      <c r="B600" s="27"/>
      <c r="D600" s="359" t="s">
        <v>265</v>
      </c>
      <c r="E600" s="359" t="s">
        <v>266</v>
      </c>
      <c r="F600" s="359"/>
      <c r="G600" s="359"/>
      <c r="H600" s="359"/>
      <c r="I600" s="359"/>
      <c r="J600" s="359"/>
      <c r="K600" s="359"/>
      <c r="L600" s="485"/>
      <c r="M600" s="485"/>
      <c r="N600" s="37"/>
      <c r="O600" s="37"/>
      <c r="P600" s="37"/>
      <c r="Q600" s="37"/>
      <c r="R600" s="37"/>
      <c r="S600" s="37"/>
      <c r="T600" s="24"/>
      <c r="U600" s="24"/>
      <c r="V600" s="27"/>
    </row>
    <row r="601" spans="1:37" s="20" customFormat="1" ht="97.5" customHeight="1">
      <c r="A601" s="18"/>
      <c r="C601" s="37"/>
      <c r="E601" s="428" t="str">
        <f>"Realisasi Belanja Modal Aset Tetap Lainnya TA "&amp;'[1]2.ISIAN DATA SKPD'!D11&amp;" sebesar Rp. "&amp;FIXED(J607)&amp;", atau mencapai sebesar "&amp;FIXED(V607)&amp;"% dari anggaran sebesar Rp. "&amp;FIXED(E607)&amp;", atau kurang dari anggaran sebesar Rp. "&amp;FIXED(Y607)&amp;". Bila dibandingkan dengan realisasi TA "&amp;'[1]2.ISIAN DATA SKPD'!D12&amp;" naik sebesar Rp. "&amp;FIXED(AC607)&amp;" atau "&amp;FIXED(T607)&amp;"%."</f>
        <v>Realisasi Belanja Modal Aset Tetap Lainnya TA 2017 sebesar Rp. 587,377,500.00, atau mencapai sebesar 97.90% dari anggaran sebesar Rp. 600,000,000.00, atau kurang dari anggaran sebesar Rp. 12,622,500.00. Bila dibandingkan dengan realisasi TA 2016 naik sebesar Rp. 587,377,500.00 atau 100.00%.</v>
      </c>
      <c r="F601" s="428"/>
      <c r="G601" s="428"/>
      <c r="H601" s="428"/>
      <c r="I601" s="428"/>
      <c r="J601" s="428"/>
      <c r="K601" s="428"/>
      <c r="L601" s="428"/>
      <c r="M601" s="428"/>
      <c r="N601" s="428"/>
      <c r="O601" s="428"/>
      <c r="P601" s="428"/>
      <c r="Q601" s="428"/>
      <c r="R601" s="428"/>
      <c r="S601" s="428"/>
      <c r="T601" s="428"/>
      <c r="U601" s="428"/>
      <c r="V601" s="27"/>
    </row>
    <row r="602" spans="1:37" s="20" customFormat="1" ht="32.25" customHeight="1">
      <c r="A602" s="18"/>
      <c r="B602" s="430" t="str">
        <f>"Perbandingan Realisasi Belanja Modal Aset Tetap Lainnya                                           TA "&amp;'[1]2.ISIAN DATA SKPD'!D11&amp;" dan "&amp;'[1]2.ISIAN DATA SKPD'!D12&amp;""</f>
        <v>Perbandingan Realisasi Belanja Modal Aset Tetap Lainnya                                           TA 2017 dan 2016</v>
      </c>
      <c r="C602" s="430"/>
      <c r="D602" s="430"/>
      <c r="E602" s="430"/>
      <c r="F602" s="430"/>
      <c r="G602" s="430"/>
      <c r="H602" s="430"/>
      <c r="I602" s="430"/>
      <c r="J602" s="430"/>
      <c r="K602" s="430"/>
      <c r="L602" s="430"/>
      <c r="M602" s="430"/>
      <c r="N602" s="430"/>
      <c r="O602" s="430"/>
      <c r="P602" s="430"/>
      <c r="Q602" s="430"/>
      <c r="R602" s="430"/>
      <c r="S602" s="430"/>
      <c r="T602" s="430"/>
      <c r="U602" s="430"/>
      <c r="V602" s="27"/>
    </row>
    <row r="603" spans="1:37" s="20" customFormat="1" ht="22.5" customHeight="1">
      <c r="A603" s="174" t="s">
        <v>267</v>
      </c>
      <c r="B603" s="175"/>
      <c r="C603" s="175"/>
      <c r="D603" s="176"/>
      <c r="E603" s="305" t="s">
        <v>130</v>
      </c>
      <c r="F603" s="132"/>
      <c r="G603" s="132"/>
      <c r="H603" s="132"/>
      <c r="I603" s="132"/>
      <c r="J603" s="174" t="str">
        <f>J594</f>
        <v>Realisasi                      TA 2017</v>
      </c>
      <c r="K603" s="175"/>
      <c r="L603" s="175"/>
      <c r="M603" s="175"/>
      <c r="N603" s="176"/>
      <c r="O603" s="174" t="str">
        <f>O594</f>
        <v>Realisasi                   TA 2016</v>
      </c>
      <c r="P603" s="175"/>
      <c r="Q603" s="175"/>
      <c r="R603" s="175"/>
      <c r="S603" s="176"/>
      <c r="T603" s="324" t="s">
        <v>185</v>
      </c>
      <c r="U603" s="361"/>
      <c r="V603" s="431" t="s">
        <v>137</v>
      </c>
      <c r="W603" s="432"/>
      <c r="X603" s="432"/>
      <c r="Y603" s="433" t="s">
        <v>136</v>
      </c>
      <c r="Z603" s="209"/>
      <c r="AA603" s="209"/>
      <c r="AB603" s="209" t="s">
        <v>137</v>
      </c>
      <c r="AC603" s="447" t="s">
        <v>138</v>
      </c>
      <c r="AD603" s="448"/>
      <c r="AE603" s="448"/>
      <c r="AF603" s="449"/>
    </row>
    <row r="604" spans="1:37" s="20" customFormat="1" ht="28.35" customHeight="1">
      <c r="A604" s="291" t="str">
        <f>'[1]3.LRA'!C95</f>
        <v>- Pengadaan buku</v>
      </c>
      <c r="B604" s="292"/>
      <c r="C604" s="292"/>
      <c r="D604" s="293"/>
      <c r="E604" s="476">
        <v>0</v>
      </c>
      <c r="F604" s="477"/>
      <c r="G604" s="477"/>
      <c r="H604" s="477"/>
      <c r="I604" s="477"/>
      <c r="J604" s="476">
        <v>0</v>
      </c>
      <c r="K604" s="477"/>
      <c r="L604" s="477"/>
      <c r="M604" s="477"/>
      <c r="N604" s="477"/>
      <c r="O604" s="476">
        <v>0</v>
      </c>
      <c r="P604" s="477"/>
      <c r="Q604" s="477"/>
      <c r="R604" s="477"/>
      <c r="S604" s="477"/>
      <c r="T604" s="338"/>
      <c r="U604" s="339"/>
      <c r="V604" s="204" t="e">
        <f>(E604-J604)/J604*100</f>
        <v>#DIV/0!</v>
      </c>
      <c r="W604" s="205"/>
      <c r="X604" s="205"/>
      <c r="Y604" s="208">
        <f>E604-J604</f>
        <v>0</v>
      </c>
      <c r="Z604" s="209"/>
      <c r="AA604" s="209"/>
      <c r="AB604" s="209"/>
      <c r="AC604" s="451">
        <f>J604-O604</f>
        <v>0</v>
      </c>
      <c r="AD604" s="452"/>
      <c r="AE604" s="452"/>
      <c r="AF604" s="453"/>
    </row>
    <row r="605" spans="1:37" s="20" customFormat="1" ht="28.35" customHeight="1">
      <c r="A605" s="291" t="str">
        <f>'[1]3.LRA'!C96</f>
        <v>- Pengadaan Tanaman</v>
      </c>
      <c r="B605" s="292"/>
      <c r="C605" s="292"/>
      <c r="D605" s="293"/>
      <c r="E605" s="476">
        <f>'[1]3.LRA'!D96</f>
        <v>0</v>
      </c>
      <c r="F605" s="477"/>
      <c r="G605" s="477"/>
      <c r="H605" s="477"/>
      <c r="I605" s="477"/>
      <c r="J605" s="476">
        <f>'[1]3.LRA'!E96</f>
        <v>0</v>
      </c>
      <c r="K605" s="477"/>
      <c r="L605" s="477"/>
      <c r="M605" s="477"/>
      <c r="N605" s="477"/>
      <c r="O605" s="476">
        <f>'[1]3.LRA'!I96</f>
        <v>0</v>
      </c>
      <c r="P605" s="477"/>
      <c r="Q605" s="477"/>
      <c r="R605" s="477"/>
      <c r="S605" s="477"/>
      <c r="T605" s="338"/>
      <c r="U605" s="339"/>
      <c r="V605" s="204" t="e">
        <f>(E605-J605)/J605*100</f>
        <v>#DIV/0!</v>
      </c>
      <c r="W605" s="205"/>
      <c r="X605" s="205"/>
      <c r="Y605" s="208">
        <f>E605-J605</f>
        <v>0</v>
      </c>
      <c r="Z605" s="209"/>
      <c r="AA605" s="209"/>
      <c r="AB605" s="209"/>
      <c r="AC605" s="451">
        <f>J605-O605</f>
        <v>0</v>
      </c>
      <c r="AD605" s="452"/>
      <c r="AE605" s="452"/>
      <c r="AF605" s="453"/>
    </row>
    <row r="606" spans="1:37" s="20" customFormat="1" ht="28.35" customHeight="1">
      <c r="A606" s="291" t="str">
        <f>'[1]3.LRA'!C97</f>
        <v>- Pengadaan AT Renovasi</v>
      </c>
      <c r="B606" s="292"/>
      <c r="C606" s="292"/>
      <c r="D606" s="293"/>
      <c r="E606" s="476">
        <f>'[1]3.LRA'!D97</f>
        <v>600000000</v>
      </c>
      <c r="F606" s="477"/>
      <c r="G606" s="477"/>
      <c r="H606" s="477"/>
      <c r="I606" s="477"/>
      <c r="J606" s="476">
        <f>'[1]3.LRA'!E97</f>
        <v>587377500</v>
      </c>
      <c r="K606" s="477"/>
      <c r="L606" s="477"/>
      <c r="M606" s="477"/>
      <c r="N606" s="477"/>
      <c r="O606" s="476">
        <f>'[1]3.LRA'!I97</f>
        <v>0</v>
      </c>
      <c r="P606" s="477"/>
      <c r="Q606" s="477"/>
      <c r="R606" s="477"/>
      <c r="S606" s="477"/>
      <c r="T606" s="486">
        <f>SUM((J606-O606)/J606)*100</f>
        <v>100</v>
      </c>
      <c r="U606" s="487"/>
      <c r="V606" s="204">
        <f>J606/E606*100</f>
        <v>97.896249999999995</v>
      </c>
      <c r="W606" s="205"/>
      <c r="X606" s="205"/>
      <c r="Y606" s="208">
        <f>E606-J606</f>
        <v>12622500</v>
      </c>
      <c r="Z606" s="209"/>
      <c r="AA606" s="209"/>
      <c r="AB606" s="209"/>
      <c r="AC606" s="451">
        <f>J606-O606</f>
        <v>587377500</v>
      </c>
      <c r="AD606" s="452"/>
      <c r="AE606" s="452"/>
      <c r="AF606" s="453"/>
    </row>
    <row r="607" spans="1:37" s="20" customFormat="1" ht="18.75" customHeight="1">
      <c r="A607" s="174" t="s">
        <v>143</v>
      </c>
      <c r="B607" s="175"/>
      <c r="C607" s="175"/>
      <c r="D607" s="176"/>
      <c r="E607" s="456">
        <f>SUM(E604:I606)</f>
        <v>600000000</v>
      </c>
      <c r="F607" s="482"/>
      <c r="G607" s="482"/>
      <c r="H607" s="482"/>
      <c r="I607" s="482"/>
      <c r="J607" s="456">
        <f>SUM(J604:N606)</f>
        <v>587377500</v>
      </c>
      <c r="K607" s="482"/>
      <c r="L607" s="482"/>
      <c r="M607" s="482"/>
      <c r="N607" s="482"/>
      <c r="O607" s="456">
        <f>SUM(O604:S606)</f>
        <v>0</v>
      </c>
      <c r="P607" s="482"/>
      <c r="Q607" s="482"/>
      <c r="R607" s="482"/>
      <c r="S607" s="482"/>
      <c r="T607" s="486">
        <f>SUM((J607-O607)/J607)*100</f>
        <v>100</v>
      </c>
      <c r="U607" s="487"/>
      <c r="V607" s="204">
        <f>J607/E607*100</f>
        <v>97.896249999999995</v>
      </c>
      <c r="W607" s="205"/>
      <c r="X607" s="205"/>
      <c r="Y607" s="208">
        <f>E607-J607</f>
        <v>12622500</v>
      </c>
      <c r="Z607" s="209"/>
      <c r="AA607" s="209"/>
      <c r="AB607" s="209"/>
      <c r="AC607" s="451">
        <f>J607-O607</f>
        <v>587377500</v>
      </c>
      <c r="AD607" s="452"/>
      <c r="AE607" s="452"/>
      <c r="AF607" s="453"/>
    </row>
    <row r="608" spans="1:37" s="20" customFormat="1" ht="18.75" customHeight="1">
      <c r="A608" s="18"/>
      <c r="B608" s="46"/>
      <c r="C608" s="46"/>
      <c r="D608" s="46"/>
      <c r="E608" s="46"/>
      <c r="F608" s="46"/>
      <c r="G608" s="46"/>
      <c r="H608" s="46"/>
      <c r="I608" s="46"/>
      <c r="J608" s="46"/>
      <c r="K608" s="46"/>
      <c r="L608" s="46"/>
      <c r="M608" s="46"/>
      <c r="N608" s="46"/>
      <c r="O608" s="46"/>
      <c r="P608" s="46"/>
      <c r="Q608" s="46"/>
      <c r="R608" s="46"/>
      <c r="S608" s="46"/>
      <c r="T608" s="46"/>
      <c r="U608" s="46"/>
      <c r="V608" s="27"/>
    </row>
    <row r="609" spans="1:22" s="20" customFormat="1" ht="18.75" customHeight="1">
      <c r="A609" s="489"/>
      <c r="B609" s="490" t="s">
        <v>268</v>
      </c>
      <c r="C609" s="491" t="s">
        <v>269</v>
      </c>
      <c r="D609" s="491"/>
      <c r="E609" s="491"/>
      <c r="F609" s="491"/>
      <c r="G609" s="491"/>
      <c r="H609" s="491"/>
      <c r="I609" s="491"/>
      <c r="J609" s="491"/>
      <c r="K609" s="491"/>
      <c r="L609" s="491"/>
      <c r="M609" s="491"/>
      <c r="N609" s="491"/>
      <c r="O609" s="491"/>
      <c r="P609" s="491"/>
      <c r="Q609" s="491"/>
      <c r="R609" s="491"/>
      <c r="S609" s="491"/>
      <c r="T609" s="491"/>
      <c r="U609" s="491"/>
      <c r="V609" s="44"/>
    </row>
    <row r="610" spans="1:22" s="20" customFormat="1" ht="69" customHeight="1">
      <c r="A610" s="492"/>
      <c r="B610" s="493"/>
      <c r="C610" s="428" t="str">
        <f>"Neraca "&amp;'[1]2.ISIAN DATA SKPD'!D11&amp;" Per  31 Desember "&amp;'[1]2.ISIAN DATA SKPD'!D11&amp;" menunjukkan posisi Aset sebesar Rp. "&amp;FIXED(I613)&amp;", Kewajiban sebesar Rp. "&amp;FIXED(I614)&amp;"  dan Ekuitas sebesar Rp. "&amp;FIXED(I615)&amp;", sebagaimana tabel berikut :"</f>
        <v>Neraca 2017 Per  31 Desember 2017 menunjukkan posisi Aset sebesar Rp. 934,605,925,106.03, Kewajiban sebesar Rp. 77,235,779.00  dan Ekuitas sebesar Rp. 934,528,689,327.03, sebagaimana tabel berikut :</v>
      </c>
      <c r="D610" s="428"/>
      <c r="E610" s="428"/>
      <c r="F610" s="428"/>
      <c r="G610" s="428"/>
      <c r="H610" s="428"/>
      <c r="I610" s="428"/>
      <c r="J610" s="428"/>
      <c r="K610" s="428"/>
      <c r="L610" s="428"/>
      <c r="M610" s="428"/>
      <c r="N610" s="428"/>
      <c r="O610" s="428"/>
      <c r="P610" s="428"/>
      <c r="Q610" s="428"/>
      <c r="R610" s="428"/>
      <c r="S610" s="428"/>
      <c r="T610" s="428"/>
      <c r="U610" s="428"/>
      <c r="V610" s="44"/>
    </row>
    <row r="611" spans="1:22" s="20" customFormat="1" ht="15.75" customHeight="1">
      <c r="A611" s="492"/>
      <c r="B611" s="493"/>
      <c r="C611" s="494"/>
      <c r="D611" s="494"/>
      <c r="E611" s="494"/>
      <c r="F611" s="494"/>
      <c r="G611" s="494"/>
      <c r="H611" s="494"/>
      <c r="I611" s="494"/>
      <c r="J611" s="494"/>
      <c r="K611" s="494"/>
      <c r="L611" s="494"/>
      <c r="M611" s="494"/>
      <c r="N611" s="494"/>
      <c r="O611" s="494"/>
      <c r="P611" s="494"/>
      <c r="Q611" s="494"/>
      <c r="R611" s="494"/>
      <c r="S611" s="494"/>
      <c r="T611" s="494"/>
      <c r="U611" s="494"/>
      <c r="V611" s="44"/>
    </row>
    <row r="612" spans="1:22" s="20" customFormat="1" ht="23.25" customHeight="1">
      <c r="A612" s="495"/>
      <c r="B612" s="303" t="s">
        <v>270</v>
      </c>
      <c r="C612" s="304"/>
      <c r="D612" s="304"/>
      <c r="E612" s="304"/>
      <c r="F612" s="304"/>
      <c r="G612" s="304"/>
      <c r="H612" s="305"/>
      <c r="I612" s="174" t="str">
        <f>"TA "&amp;'[1]2.ISIAN DATA SKPD'!D11&amp;""</f>
        <v>TA 2017</v>
      </c>
      <c r="J612" s="175"/>
      <c r="K612" s="175"/>
      <c r="L612" s="175"/>
      <c r="M612" s="176"/>
      <c r="N612" s="174" t="str">
        <f>"TA "&amp;'[1]2.ISIAN DATA SKPD'!D12&amp;""</f>
        <v>TA 2016</v>
      </c>
      <c r="O612" s="175"/>
      <c r="P612" s="175"/>
      <c r="Q612" s="175"/>
      <c r="R612" s="175"/>
      <c r="S612" s="176"/>
      <c r="T612" s="324" t="s">
        <v>185</v>
      </c>
      <c r="U612" s="361"/>
      <c r="V612" s="27"/>
    </row>
    <row r="613" spans="1:22" s="20" customFormat="1" ht="20.25" customHeight="1">
      <c r="A613" s="496"/>
      <c r="B613" s="497" t="s">
        <v>271</v>
      </c>
      <c r="C613" s="498"/>
      <c r="D613" s="498"/>
      <c r="E613" s="498"/>
      <c r="F613" s="498"/>
      <c r="G613" s="498"/>
      <c r="H613" s="499"/>
      <c r="I613" s="365">
        <f>'[1]4.NERACA'!I5</f>
        <v>934605925106.03003</v>
      </c>
      <c r="J613" s="368"/>
      <c r="K613" s="368"/>
      <c r="L613" s="368"/>
      <c r="M613" s="368"/>
      <c r="N613" s="365">
        <f>'[1]4.NERACA'!D5</f>
        <v>907328464407.03003</v>
      </c>
      <c r="O613" s="368"/>
      <c r="P613" s="368"/>
      <c r="Q613" s="368"/>
      <c r="R613" s="368"/>
      <c r="S613" s="369"/>
      <c r="T613" s="486">
        <f>SUM((I613-N613)/I613)*100</f>
        <v>2.9186055819093384</v>
      </c>
      <c r="U613" s="487"/>
      <c r="V613" s="27"/>
    </row>
    <row r="614" spans="1:22" s="20" customFormat="1" ht="18" customHeight="1">
      <c r="A614" s="496"/>
      <c r="B614" s="497" t="s">
        <v>272</v>
      </c>
      <c r="C614" s="498"/>
      <c r="D614" s="498"/>
      <c r="E614" s="498"/>
      <c r="F614" s="498"/>
      <c r="G614" s="498"/>
      <c r="H614" s="499"/>
      <c r="I614" s="365">
        <f>'[1]4.NERACA'!I158</f>
        <v>77235779</v>
      </c>
      <c r="J614" s="368"/>
      <c r="K614" s="368"/>
      <c r="L614" s="368"/>
      <c r="M614" s="368"/>
      <c r="N614" s="365">
        <f>'[1]4.NERACA'!D158</f>
        <v>165392058</v>
      </c>
      <c r="O614" s="368"/>
      <c r="P614" s="368"/>
      <c r="Q614" s="368"/>
      <c r="R614" s="368"/>
      <c r="S614" s="369"/>
      <c r="T614" s="486">
        <f>SUM((I614-N614)/I614)*100</f>
        <v>-114.1391724682417</v>
      </c>
      <c r="U614" s="487"/>
      <c r="V614" s="27"/>
    </row>
    <row r="615" spans="1:22" s="20" customFormat="1" ht="26.25" customHeight="1">
      <c r="A615" s="496"/>
      <c r="B615" s="497" t="s">
        <v>273</v>
      </c>
      <c r="C615" s="498"/>
      <c r="D615" s="498"/>
      <c r="E615" s="498"/>
      <c r="F615" s="498"/>
      <c r="G615" s="498"/>
      <c r="H615" s="499"/>
      <c r="I615" s="365">
        <f>'[1]4.NERACA'!I213</f>
        <v>934528689327.03003</v>
      </c>
      <c r="J615" s="368"/>
      <c r="K615" s="368"/>
      <c r="L615" s="368"/>
      <c r="M615" s="368"/>
      <c r="N615" s="365">
        <f>'[1]4.NERACA'!D212</f>
        <v>907163072349.03003</v>
      </c>
      <c r="O615" s="368"/>
      <c r="P615" s="368"/>
      <c r="Q615" s="368"/>
      <c r="R615" s="368"/>
      <c r="S615" s="369"/>
      <c r="T615" s="486">
        <f>SUM((I615-N615)/I615)*100</f>
        <v>2.9282800293382585</v>
      </c>
      <c r="U615" s="487"/>
      <c r="V615" s="27"/>
    </row>
    <row r="616" spans="1:22" s="20" customFormat="1" ht="24.75" customHeight="1">
      <c r="A616" s="496"/>
      <c r="B616" s="500" t="s">
        <v>274</v>
      </c>
      <c r="C616" s="501"/>
      <c r="D616" s="501"/>
      <c r="E616" s="501"/>
      <c r="F616" s="501"/>
      <c r="G616" s="501"/>
      <c r="H616" s="502"/>
      <c r="I616" s="365">
        <f>I615+I614</f>
        <v>934605925106.03003</v>
      </c>
      <c r="J616" s="368"/>
      <c r="K616" s="368"/>
      <c r="L616" s="368"/>
      <c r="M616" s="368"/>
      <c r="N616" s="365">
        <f>N615+N614</f>
        <v>907328464407.03003</v>
      </c>
      <c r="O616" s="368"/>
      <c r="P616" s="368"/>
      <c r="Q616" s="368"/>
      <c r="R616" s="368"/>
      <c r="S616" s="369"/>
      <c r="T616" s="486">
        <f>SUM((I616-N616)/I616)*100</f>
        <v>2.9186055819093384</v>
      </c>
      <c r="U616" s="487"/>
      <c r="V616" s="27"/>
    </row>
    <row r="617" spans="1:22" s="20" customFormat="1" ht="18" customHeight="1">
      <c r="A617" s="492"/>
      <c r="B617" s="503"/>
      <c r="C617" s="504"/>
      <c r="D617" s="504"/>
      <c r="E617" s="504"/>
      <c r="F617" s="504"/>
      <c r="G617" s="504"/>
      <c r="H617" s="504"/>
      <c r="I617" s="504"/>
      <c r="J617" s="504"/>
      <c r="K617" s="504"/>
      <c r="L617" s="504"/>
      <c r="M617" s="504"/>
      <c r="N617" s="504"/>
      <c r="O617" s="504"/>
      <c r="P617" s="504"/>
      <c r="Q617" s="504"/>
      <c r="R617" s="504"/>
      <c r="S617" s="504"/>
      <c r="T617" s="504"/>
      <c r="U617" s="504"/>
      <c r="V617" s="27"/>
    </row>
    <row r="618" spans="1:22" s="20" customFormat="1" ht="18" customHeight="1">
      <c r="A618" s="18"/>
      <c r="B618" s="490" t="s">
        <v>275</v>
      </c>
      <c r="C618" s="491" t="s">
        <v>276</v>
      </c>
      <c r="D618" s="491"/>
      <c r="E618" s="491"/>
      <c r="F618" s="491"/>
      <c r="G618" s="491"/>
      <c r="H618" s="491"/>
      <c r="I618" s="491"/>
      <c r="J618" s="491"/>
      <c r="K618" s="491"/>
      <c r="L618" s="491"/>
      <c r="M618" s="491"/>
      <c r="N618" s="491"/>
      <c r="O618" s="491"/>
      <c r="P618" s="491"/>
      <c r="Q618" s="491"/>
      <c r="R618" s="491"/>
      <c r="S618" s="491"/>
      <c r="T618" s="491"/>
      <c r="U618" s="491"/>
      <c r="V618" s="27"/>
    </row>
    <row r="619" spans="1:22" s="20" customFormat="1" ht="45.75" customHeight="1">
      <c r="A619" s="30"/>
      <c r="B619" s="44"/>
      <c r="C619" s="428" t="str">
        <f>"Aset "&amp;'[1]2.ISIAN DATA SKPD'!D2&amp;" per "&amp;'[1]2.ISIAN DATA SKPD'!D8&amp;" adalah sebesar Rp. "&amp;FIXED(I613)&amp;" dengan penjelasan masing-masing akun sebagai berikut:"</f>
        <v>Aset Dinas Pekerjaan Umum dan Penataan Ruang per 31 Desember 2017 adalah sebesar Rp. 934,605,925,106.03 dengan penjelasan masing-masing akun sebagai berikut:</v>
      </c>
      <c r="D619" s="428"/>
      <c r="E619" s="428"/>
      <c r="F619" s="428"/>
      <c r="G619" s="428"/>
      <c r="H619" s="428"/>
      <c r="I619" s="428"/>
      <c r="J619" s="428"/>
      <c r="K619" s="428"/>
      <c r="L619" s="428"/>
      <c r="M619" s="428"/>
      <c r="N619" s="428"/>
      <c r="O619" s="428"/>
      <c r="P619" s="428"/>
      <c r="Q619" s="428"/>
      <c r="R619" s="428"/>
      <c r="S619" s="428"/>
      <c r="T619" s="428"/>
      <c r="U619" s="428"/>
      <c r="V619" s="27"/>
    </row>
    <row r="620" spans="1:22" s="20" customFormat="1" ht="17.25" customHeight="1">
      <c r="A620" s="30"/>
      <c r="B620" s="44"/>
      <c r="C620" s="429"/>
      <c r="D620" s="429"/>
      <c r="E620" s="429"/>
      <c r="F620" s="429"/>
      <c r="G620" s="429"/>
      <c r="H620" s="429"/>
      <c r="I620" s="429"/>
      <c r="J620" s="429"/>
      <c r="K620" s="429"/>
      <c r="L620" s="429"/>
      <c r="M620" s="429"/>
      <c r="N620" s="429"/>
      <c r="O620" s="429"/>
      <c r="P620" s="429"/>
      <c r="Q620" s="429"/>
      <c r="R620" s="429"/>
      <c r="S620" s="429"/>
      <c r="T620" s="429"/>
      <c r="U620" s="429"/>
      <c r="V620" s="27"/>
    </row>
    <row r="621" spans="1:22" s="20" customFormat="1" ht="18.75" customHeight="1">
      <c r="A621" s="30"/>
      <c r="B621" s="505" t="s">
        <v>277</v>
      </c>
      <c r="C621" s="505"/>
      <c r="D621" s="48"/>
      <c r="E621" s="48"/>
      <c r="F621" s="48"/>
      <c r="G621" s="48"/>
      <c r="H621" s="48"/>
      <c r="I621" s="48"/>
      <c r="J621" s="48"/>
      <c r="K621" s="48"/>
      <c r="L621" s="48"/>
      <c r="M621" s="48"/>
      <c r="N621" s="48"/>
      <c r="O621" s="48"/>
      <c r="P621" s="48"/>
      <c r="Q621" s="48"/>
      <c r="R621" s="48"/>
      <c r="S621" s="48"/>
      <c r="T621" s="48"/>
      <c r="U621" s="48"/>
      <c r="V621" s="27"/>
    </row>
    <row r="622" spans="1:22" s="20" customFormat="1" ht="33" customHeight="1">
      <c r="A622" s="18"/>
      <c r="B622" s="44"/>
      <c r="C622" s="428" t="str">
        <f>"Aset Lancar per "&amp;'[1]2.ISIAN DATA SKPD'!D8&amp;" sebesar  Rp."&amp;FIXED(O629)&amp;"  terdiri atas:"</f>
        <v>Aset Lancar per 31 Desember 2017 sebesar  Rp.2,152,616,546.00  terdiri atas:</v>
      </c>
      <c r="D622" s="428"/>
      <c r="E622" s="428"/>
      <c r="F622" s="428"/>
      <c r="G622" s="428"/>
      <c r="H622" s="428"/>
      <c r="I622" s="428"/>
      <c r="J622" s="428"/>
      <c r="K622" s="428"/>
      <c r="L622" s="428"/>
      <c r="M622" s="428"/>
      <c r="N622" s="428"/>
      <c r="O622" s="428"/>
      <c r="P622" s="428"/>
      <c r="Q622" s="428"/>
      <c r="R622" s="428"/>
      <c r="S622" s="428"/>
      <c r="T622" s="428"/>
      <c r="U622" s="428"/>
      <c r="V622" s="27"/>
    </row>
    <row r="623" spans="1:22" s="20" customFormat="1" ht="19.5" customHeight="1">
      <c r="A623" s="18"/>
      <c r="B623" s="12"/>
      <c r="C623" s="506" t="s">
        <v>119</v>
      </c>
      <c r="D623" s="506"/>
      <c r="E623" s="507" t="s">
        <v>278</v>
      </c>
      <c r="F623" s="507"/>
      <c r="G623" s="507"/>
      <c r="H623" s="507"/>
      <c r="I623" s="507"/>
      <c r="J623" s="507"/>
      <c r="K623" s="507"/>
      <c r="M623" s="508" t="s">
        <v>279</v>
      </c>
      <c r="N623" s="509"/>
      <c r="O623" s="510">
        <f>'[1]4.NERACA'!I7</f>
        <v>0</v>
      </c>
      <c r="P623" s="510"/>
      <c r="Q623" s="510"/>
      <c r="R623" s="510"/>
      <c r="S623" s="510"/>
      <c r="T623" s="510"/>
      <c r="U623" s="509"/>
      <c r="V623" s="27"/>
    </row>
    <row r="624" spans="1:22" s="20" customFormat="1" ht="18" customHeight="1">
      <c r="A624" s="18"/>
      <c r="B624" s="12"/>
      <c r="C624" s="506" t="s">
        <v>112</v>
      </c>
      <c r="D624" s="506"/>
      <c r="E624" s="507" t="s">
        <v>280</v>
      </c>
      <c r="F624" s="507"/>
      <c r="G624" s="507"/>
      <c r="H624" s="507"/>
      <c r="I624" s="507"/>
      <c r="J624" s="507"/>
      <c r="K624" s="507"/>
      <c r="M624" s="511" t="s">
        <v>279</v>
      </c>
      <c r="N624" s="509"/>
      <c r="O624" s="510">
        <f>'[1]4.NERACA'!I14</f>
        <v>0</v>
      </c>
      <c r="P624" s="510"/>
      <c r="Q624" s="510"/>
      <c r="R624" s="510"/>
      <c r="S624" s="510"/>
      <c r="T624" s="510"/>
      <c r="U624" s="512"/>
      <c r="V624" s="27"/>
    </row>
    <row r="625" spans="1:22" s="20" customFormat="1" ht="29.25" customHeight="1">
      <c r="A625" s="18"/>
      <c r="B625" s="12"/>
      <c r="C625" s="506" t="s">
        <v>113</v>
      </c>
      <c r="D625" s="506"/>
      <c r="E625" s="507" t="s">
        <v>281</v>
      </c>
      <c r="F625" s="507"/>
      <c r="G625" s="507"/>
      <c r="H625" s="507"/>
      <c r="I625" s="507"/>
      <c r="J625" s="507"/>
      <c r="K625" s="507"/>
      <c r="M625" s="511" t="s">
        <v>279</v>
      </c>
      <c r="N625" s="509"/>
      <c r="O625" s="510">
        <f>'[1]4.NERACA'!I22</f>
        <v>0</v>
      </c>
      <c r="P625" s="510"/>
      <c r="Q625" s="510"/>
      <c r="R625" s="510"/>
      <c r="S625" s="510"/>
      <c r="T625" s="510"/>
      <c r="U625" s="509"/>
      <c r="V625" s="27"/>
    </row>
    <row r="626" spans="1:22" s="20" customFormat="1" ht="18.75" customHeight="1">
      <c r="A626" s="18"/>
      <c r="B626" s="12"/>
      <c r="C626" s="506" t="s">
        <v>114</v>
      </c>
      <c r="D626" s="506"/>
      <c r="E626" s="507" t="s">
        <v>282</v>
      </c>
      <c r="F626" s="507"/>
      <c r="G626" s="507"/>
      <c r="H626" s="507"/>
      <c r="I626" s="507"/>
      <c r="J626" s="507"/>
      <c r="K626" s="507"/>
      <c r="M626" s="511" t="s">
        <v>279</v>
      </c>
      <c r="N626" s="509"/>
      <c r="O626" s="510">
        <f>'[1]4.NERACA'!I34</f>
        <v>0</v>
      </c>
      <c r="P626" s="510"/>
      <c r="Q626" s="510"/>
      <c r="R626" s="510"/>
      <c r="S626" s="510"/>
      <c r="T626" s="510"/>
      <c r="U626" s="509"/>
      <c r="V626" s="27"/>
    </row>
    <row r="627" spans="1:22" s="20" customFormat="1" ht="18.75" customHeight="1">
      <c r="A627" s="18"/>
      <c r="B627" s="12"/>
      <c r="C627" s="506" t="s">
        <v>115</v>
      </c>
      <c r="D627" s="506"/>
      <c r="E627" s="507" t="s">
        <v>283</v>
      </c>
      <c r="F627" s="507"/>
      <c r="G627" s="507"/>
      <c r="H627" s="507"/>
      <c r="I627" s="507"/>
      <c r="J627" s="507"/>
      <c r="K627" s="507"/>
      <c r="M627" s="511" t="s">
        <v>279</v>
      </c>
      <c r="N627" s="509"/>
      <c r="O627" s="510">
        <f>'[1]4.NERACA'!I37</f>
        <v>0</v>
      </c>
      <c r="P627" s="510"/>
      <c r="Q627" s="510"/>
      <c r="R627" s="510"/>
      <c r="S627" s="510"/>
      <c r="T627" s="510"/>
      <c r="U627" s="512"/>
      <c r="V627" s="27"/>
    </row>
    <row r="628" spans="1:22" s="20" customFormat="1" ht="18.75" customHeight="1">
      <c r="A628" s="18"/>
      <c r="B628" s="12"/>
      <c r="C628" s="506" t="s">
        <v>284</v>
      </c>
      <c r="D628" s="506"/>
      <c r="E628" s="507" t="s">
        <v>285</v>
      </c>
      <c r="F628" s="507"/>
      <c r="G628" s="507"/>
      <c r="H628" s="507"/>
      <c r="I628" s="507"/>
      <c r="J628" s="507"/>
      <c r="K628" s="507"/>
      <c r="M628" s="511" t="s">
        <v>279</v>
      </c>
      <c r="N628" s="509"/>
      <c r="O628" s="513">
        <f>'[1]4.NERACA'!I43</f>
        <v>2152616546</v>
      </c>
      <c r="P628" s="513"/>
      <c r="Q628" s="513"/>
      <c r="R628" s="513"/>
      <c r="S628" s="513"/>
      <c r="T628" s="513"/>
      <c r="U628" s="509"/>
      <c r="V628" s="27"/>
    </row>
    <row r="629" spans="1:22" s="20" customFormat="1" ht="18.75" customHeight="1">
      <c r="A629" s="18"/>
      <c r="B629" s="12"/>
      <c r="C629" s="514" t="s">
        <v>178</v>
      </c>
      <c r="D629" s="514"/>
      <c r="E629" s="514"/>
      <c r="F629" s="514"/>
      <c r="G629" s="514"/>
      <c r="H629" s="514"/>
      <c r="I629" s="514"/>
      <c r="J629" s="514"/>
      <c r="K629" s="514"/>
      <c r="M629" s="511" t="s">
        <v>279</v>
      </c>
      <c r="N629" s="515"/>
      <c r="O629" s="516">
        <f>SUM(N623:Q628)</f>
        <v>2152616546</v>
      </c>
      <c r="P629" s="516"/>
      <c r="Q629" s="516"/>
      <c r="R629" s="516"/>
      <c r="S629" s="516"/>
      <c r="T629" s="516"/>
      <c r="U629" s="509"/>
      <c r="V629" s="27"/>
    </row>
    <row r="630" spans="1:22" s="20" customFormat="1" ht="18.75" customHeight="1">
      <c r="A630" s="18"/>
      <c r="B630" s="12"/>
      <c r="C630" s="517"/>
      <c r="D630" s="517"/>
      <c r="E630" s="517"/>
      <c r="F630" s="517"/>
      <c r="G630" s="517"/>
      <c r="H630" s="517"/>
      <c r="I630" s="517"/>
      <c r="J630" s="517"/>
      <c r="K630" s="517"/>
      <c r="L630" s="517"/>
      <c r="M630" s="512"/>
      <c r="N630" s="512"/>
      <c r="O630" s="512"/>
      <c r="P630" s="512"/>
      <c r="Q630" s="512"/>
      <c r="R630" s="512"/>
      <c r="S630" s="512"/>
      <c r="T630" s="512"/>
      <c r="U630" s="512"/>
      <c r="V630" s="27"/>
    </row>
    <row r="631" spans="1:22" s="20" customFormat="1" ht="18.75" customHeight="1">
      <c r="A631" s="18"/>
      <c r="C631" s="8" t="s">
        <v>119</v>
      </c>
      <c r="D631" s="491" t="s">
        <v>286</v>
      </c>
      <c r="E631" s="491"/>
      <c r="F631" s="491"/>
      <c r="G631" s="491"/>
      <c r="H631" s="491"/>
      <c r="I631" s="491"/>
      <c r="J631" s="491"/>
      <c r="K631" s="491"/>
      <c r="L631" s="491"/>
      <c r="M631" s="491"/>
      <c r="N631" s="491"/>
      <c r="O631" s="491"/>
      <c r="P631" s="491"/>
      <c r="Q631" s="491"/>
      <c r="R631" s="491"/>
      <c r="S631" s="491"/>
      <c r="T631" s="491"/>
      <c r="U631" s="48"/>
      <c r="V631" s="27"/>
    </row>
    <row r="632" spans="1:22" s="20" customFormat="1" ht="66" customHeight="1">
      <c r="A632" s="18"/>
      <c r="C632" s="518"/>
      <c r="D632" s="428" t="str">
        <f>"Kas dan Setara Kas  per TA "&amp;'[1]2.ISIAN DATA SKPD'!D11&amp;" dan per TA "&amp;'[1]2.ISIAN DATA SKPD'!D12&amp;" adalah sebesar Rp. "&amp;FIXED(J639)&amp;"  dan Rp. "&amp;FIXED(O639)&amp;" mengalami penurunan sebesar "&amp;FIXED(T639)&amp;"%  dengan rincian  sebagai berikut:"</f>
        <v>Kas dan Setara Kas  per TA 2017 dan per TA 2016 adalah sebesar Rp. 0.00  dan Rp. 39,841,000.00 mengalami penurunan sebesar 100.00%  dengan rincian  sebagai berikut:</v>
      </c>
      <c r="E632" s="428"/>
      <c r="F632" s="428"/>
      <c r="G632" s="428"/>
      <c r="H632" s="428"/>
      <c r="I632" s="428"/>
      <c r="J632" s="428"/>
      <c r="K632" s="428"/>
      <c r="L632" s="428"/>
      <c r="M632" s="428"/>
      <c r="N632" s="428"/>
      <c r="O632" s="428"/>
      <c r="P632" s="428"/>
      <c r="Q632" s="428"/>
      <c r="R632" s="428"/>
      <c r="S632" s="428"/>
      <c r="T632" s="428"/>
      <c r="U632" s="428"/>
      <c r="V632" s="27"/>
    </row>
    <row r="633" spans="1:22" s="20" customFormat="1" ht="20.25" customHeight="1">
      <c r="A633" s="18"/>
      <c r="C633" s="518"/>
      <c r="D633" s="429"/>
      <c r="E633" s="429"/>
      <c r="F633" s="429"/>
      <c r="G633" s="429"/>
      <c r="H633" s="429"/>
      <c r="I633" s="429"/>
      <c r="J633" s="429"/>
      <c r="K633" s="429"/>
      <c r="L633" s="429"/>
      <c r="M633" s="429"/>
      <c r="N633" s="429"/>
      <c r="O633" s="429"/>
      <c r="P633" s="429"/>
      <c r="Q633" s="429"/>
      <c r="R633" s="429"/>
      <c r="S633" s="429"/>
      <c r="T633" s="429"/>
      <c r="U633" s="429"/>
      <c r="V633" s="27"/>
    </row>
    <row r="634" spans="1:22" s="20" customFormat="1" ht="16.5" customHeight="1">
      <c r="A634" s="18"/>
      <c r="B634" s="519" t="s">
        <v>147</v>
      </c>
      <c r="C634" s="520" t="s">
        <v>286</v>
      </c>
      <c r="D634" s="521"/>
      <c r="E634" s="521"/>
      <c r="F634" s="521"/>
      <c r="G634" s="521"/>
      <c r="H634" s="521"/>
      <c r="I634" s="522"/>
      <c r="J634" s="523" t="str">
        <f>I612</f>
        <v>TA 2017</v>
      </c>
      <c r="K634" s="524"/>
      <c r="L634" s="524"/>
      <c r="M634" s="524"/>
      <c r="N634" s="525"/>
      <c r="O634" s="303" t="str">
        <f>N612</f>
        <v>TA 2016</v>
      </c>
      <c r="P634" s="524"/>
      <c r="Q634" s="524"/>
      <c r="R634" s="524"/>
      <c r="S634" s="525"/>
      <c r="T634" s="526" t="s">
        <v>118</v>
      </c>
      <c r="U634" s="525"/>
      <c r="V634" s="27"/>
    </row>
    <row r="635" spans="1:22" s="20" customFormat="1" ht="30" customHeight="1">
      <c r="A635" s="18"/>
      <c r="B635" s="527">
        <v>1</v>
      </c>
      <c r="C635" s="294" t="s">
        <v>287</v>
      </c>
      <c r="D635" s="295"/>
      <c r="E635" s="295"/>
      <c r="F635" s="295"/>
      <c r="G635" s="295"/>
      <c r="H635" s="295"/>
      <c r="I635" s="296"/>
      <c r="J635" s="476">
        <f>'[1]4.NERACA'!I9</f>
        <v>0</v>
      </c>
      <c r="K635" s="477"/>
      <c r="L635" s="477"/>
      <c r="M635" s="477"/>
      <c r="N635" s="477"/>
      <c r="O635" s="476">
        <f>'[1]4.NERACA'!D9</f>
        <v>0</v>
      </c>
      <c r="P635" s="477"/>
      <c r="Q635" s="477"/>
      <c r="R635" s="477"/>
      <c r="S635" s="477"/>
      <c r="T635" s="528"/>
      <c r="U635" s="529"/>
      <c r="V635" s="27"/>
    </row>
    <row r="636" spans="1:22" s="20" customFormat="1" ht="15.75" customHeight="1">
      <c r="A636" s="530"/>
      <c r="B636" s="527">
        <v>2</v>
      </c>
      <c r="C636" s="294" t="s">
        <v>288</v>
      </c>
      <c r="D636" s="295"/>
      <c r="E636" s="295"/>
      <c r="F636" s="295"/>
      <c r="G636" s="295"/>
      <c r="H636" s="295"/>
      <c r="I636" s="296"/>
      <c r="J636" s="476">
        <f>'[1]4.NERACA'!I10</f>
        <v>0</v>
      </c>
      <c r="K636" s="477"/>
      <c r="L636" s="477"/>
      <c r="M636" s="477"/>
      <c r="N636" s="477"/>
      <c r="O636" s="476">
        <f>'[1]4.NERACA'!D10</f>
        <v>39841000</v>
      </c>
      <c r="P636" s="477"/>
      <c r="Q636" s="477"/>
      <c r="R636" s="477"/>
      <c r="S636" s="477"/>
      <c r="T636" s="486"/>
      <c r="U636" s="487"/>
      <c r="V636" s="27"/>
    </row>
    <row r="637" spans="1:22" s="20" customFormat="1" ht="16.5" customHeight="1">
      <c r="A637" s="530"/>
      <c r="B637" s="527">
        <v>3</v>
      </c>
      <c r="C637" s="294" t="s">
        <v>289</v>
      </c>
      <c r="D637" s="295"/>
      <c r="E637" s="295"/>
      <c r="F637" s="295"/>
      <c r="G637" s="295"/>
      <c r="H637" s="295"/>
      <c r="I637" s="296"/>
      <c r="J637" s="476">
        <f>'[1]4.NERACA'!I11</f>
        <v>0</v>
      </c>
      <c r="K637" s="477"/>
      <c r="L637" s="477"/>
      <c r="M637" s="477"/>
      <c r="N637" s="477"/>
      <c r="O637" s="476">
        <f>'[1]4.NERACA'!D11</f>
        <v>0</v>
      </c>
      <c r="P637" s="477"/>
      <c r="Q637" s="477"/>
      <c r="R637" s="477"/>
      <c r="S637" s="477"/>
      <c r="T637" s="528"/>
      <c r="U637" s="529"/>
      <c r="V637" s="27"/>
    </row>
    <row r="638" spans="1:22" s="20" customFormat="1" ht="21.75" customHeight="1">
      <c r="A638" s="18"/>
      <c r="B638" s="527">
        <v>4</v>
      </c>
      <c r="C638" s="294" t="s">
        <v>290</v>
      </c>
      <c r="D638" s="295"/>
      <c r="E638" s="295"/>
      <c r="F638" s="295"/>
      <c r="G638" s="295"/>
      <c r="H638" s="295"/>
      <c r="I638" s="296"/>
      <c r="J638" s="476">
        <f>'[1]4.NERACA'!I12</f>
        <v>0</v>
      </c>
      <c r="K638" s="477"/>
      <c r="L638" s="477"/>
      <c r="M638" s="477"/>
      <c r="N638" s="477"/>
      <c r="O638" s="476">
        <f>'[1]4.NERACA'!D12</f>
        <v>0</v>
      </c>
      <c r="P638" s="477"/>
      <c r="Q638" s="477"/>
      <c r="R638" s="477"/>
      <c r="S638" s="477"/>
      <c r="T638" s="528"/>
      <c r="U638" s="529"/>
      <c r="V638" s="27"/>
    </row>
    <row r="639" spans="1:22" s="20" customFormat="1" ht="28.5" customHeight="1">
      <c r="A639" s="18"/>
      <c r="B639" s="520" t="s">
        <v>178</v>
      </c>
      <c r="C639" s="521"/>
      <c r="D639" s="521"/>
      <c r="E639" s="521"/>
      <c r="F639" s="521"/>
      <c r="G639" s="521"/>
      <c r="H639" s="521"/>
      <c r="I639" s="522"/>
      <c r="J639" s="500">
        <f>SUM(J635:N638)</f>
        <v>0</v>
      </c>
      <c r="K639" s="531"/>
      <c r="L639" s="531"/>
      <c r="M639" s="531"/>
      <c r="N639" s="532"/>
      <c r="O639" s="500">
        <f>SUM(O635:S638)</f>
        <v>39841000</v>
      </c>
      <c r="P639" s="531"/>
      <c r="Q639" s="531"/>
      <c r="R639" s="531"/>
      <c r="S639" s="532"/>
      <c r="T639" s="486">
        <v>100</v>
      </c>
      <c r="U639" s="487"/>
      <c r="V639" s="27"/>
    </row>
    <row r="640" spans="1:22" s="20" customFormat="1" ht="18" customHeight="1">
      <c r="A640" s="18"/>
      <c r="B640" s="12"/>
      <c r="C640" s="533"/>
      <c r="D640" s="533"/>
      <c r="E640" s="533"/>
      <c r="F640" s="533"/>
      <c r="G640" s="533"/>
      <c r="H640" s="533"/>
      <c r="I640" s="533"/>
      <c r="J640" s="533"/>
      <c r="K640" s="533"/>
      <c r="L640" s="533"/>
      <c r="M640" s="533"/>
      <c r="N640" s="533"/>
      <c r="O640" s="533"/>
      <c r="P640" s="533"/>
      <c r="Q640" s="533"/>
      <c r="R640" s="533"/>
      <c r="S640" s="533"/>
      <c r="T640" s="533"/>
      <c r="U640" s="534"/>
      <c r="V640" s="27"/>
    </row>
    <row r="641" spans="1:22" s="20" customFormat="1" ht="21.75" customHeight="1">
      <c r="A641" s="18"/>
      <c r="B641" s="12"/>
      <c r="C641" s="8" t="s">
        <v>5</v>
      </c>
      <c r="D641" s="491" t="s">
        <v>287</v>
      </c>
      <c r="E641" s="491"/>
      <c r="F641" s="491"/>
      <c r="G641" s="491"/>
      <c r="H641" s="491"/>
      <c r="I641" s="491"/>
      <c r="J641" s="491"/>
      <c r="K641" s="491"/>
      <c r="L641" s="491"/>
      <c r="M641" s="491"/>
      <c r="N641" s="491"/>
      <c r="O641" s="491"/>
      <c r="P641" s="491"/>
      <c r="Q641" s="491"/>
      <c r="R641" s="491"/>
      <c r="S641" s="491"/>
      <c r="T641" s="491"/>
      <c r="U641" s="491"/>
      <c r="V641" s="27"/>
    </row>
    <row r="642" spans="1:22" s="20" customFormat="1" ht="48" customHeight="1">
      <c r="A642" s="18"/>
      <c r="B642" s="12"/>
      <c r="C642" s="533"/>
      <c r="D642" s="313" t="str">
        <f>"Saldo Kas di Bendahara Penerimaan per tanggal "&amp;'[1]2.ISIAN DATA SKPD'!D8&amp;" dan "&amp;'[1]2.ISIAN DATA SKPD'!D12&amp;" adalah sebesar masing-masing Rp. "&amp;FIXED(J649)&amp;" dan Rp. "&amp;FIXED(O649)&amp;" mengalami kenaikan/penurunan sebesar "&amp;FIXED(T649)&amp;"%."</f>
        <v>Saldo Kas di Bendahara Penerimaan per tanggal 31 Desember 2017 dan 2016 adalah sebesar masing-masing Rp. 0.00 dan Rp. 0.00 mengalami kenaikan/penurunan sebesar 0.00%.</v>
      </c>
      <c r="E642" s="313"/>
      <c r="F642" s="313"/>
      <c r="G642" s="313"/>
      <c r="H642" s="313"/>
      <c r="I642" s="313"/>
      <c r="J642" s="313"/>
      <c r="K642" s="313"/>
      <c r="L642" s="313"/>
      <c r="M642" s="313"/>
      <c r="N642" s="313"/>
      <c r="O642" s="313"/>
      <c r="P642" s="313"/>
      <c r="Q642" s="313"/>
      <c r="R642" s="313"/>
      <c r="S642" s="313"/>
      <c r="T642" s="313"/>
      <c r="U642" s="313"/>
      <c r="V642" s="27"/>
    </row>
    <row r="643" spans="1:22" s="20" customFormat="1" ht="65.25" customHeight="1">
      <c r="A643" s="18"/>
      <c r="C643" s="37"/>
      <c r="D643" s="313" t="s">
        <v>291</v>
      </c>
      <c r="E643" s="313"/>
      <c r="F643" s="313"/>
      <c r="G643" s="313"/>
      <c r="H643" s="313"/>
      <c r="I643" s="313"/>
      <c r="J643" s="313"/>
      <c r="K643" s="313"/>
      <c r="L643" s="313"/>
      <c r="M643" s="313"/>
      <c r="N643" s="313"/>
      <c r="O643" s="313"/>
      <c r="P643" s="313"/>
      <c r="Q643" s="313"/>
      <c r="R643" s="313"/>
      <c r="S643" s="313"/>
      <c r="T643" s="313"/>
      <c r="U643" s="313"/>
      <c r="V643" s="27"/>
    </row>
    <row r="644" spans="1:22" s="20" customFormat="1" ht="16.5" customHeight="1">
      <c r="A644" s="18"/>
      <c r="C644" s="37"/>
      <c r="D644" s="285"/>
      <c r="E644" s="285"/>
      <c r="F644" s="285"/>
      <c r="G644" s="285"/>
      <c r="H644" s="285"/>
      <c r="I644" s="285"/>
      <c r="J644" s="285"/>
      <c r="K644" s="285"/>
      <c r="L644" s="285"/>
      <c r="M644" s="285"/>
      <c r="N644" s="285"/>
      <c r="O644" s="285"/>
      <c r="P644" s="285"/>
      <c r="Q644" s="285"/>
      <c r="R644" s="285"/>
      <c r="S644" s="285"/>
      <c r="T644" s="285"/>
      <c r="U644" s="285"/>
      <c r="V644" s="27"/>
    </row>
    <row r="645" spans="1:22" s="20" customFormat="1" ht="23.25" customHeight="1">
      <c r="A645" s="18"/>
      <c r="B645" s="386" t="s">
        <v>292</v>
      </c>
      <c r="C645" s="386"/>
      <c r="D645" s="386"/>
      <c r="E645" s="386"/>
      <c r="F645" s="386"/>
      <c r="G645" s="386"/>
      <c r="H645" s="386"/>
      <c r="I645" s="386"/>
      <c r="J645" s="386"/>
      <c r="K645" s="386"/>
      <c r="L645" s="386"/>
      <c r="M645" s="386"/>
      <c r="N645" s="386"/>
      <c r="O645" s="386"/>
      <c r="P645" s="386"/>
      <c r="Q645" s="386"/>
      <c r="R645" s="386"/>
      <c r="S645" s="386"/>
      <c r="T645" s="386"/>
      <c r="U645" s="386"/>
      <c r="V645" s="27"/>
    </row>
    <row r="646" spans="1:22" s="20" customFormat="1" ht="27" customHeight="1">
      <c r="A646" s="18"/>
      <c r="B646" s="520" t="s">
        <v>293</v>
      </c>
      <c r="C646" s="521"/>
      <c r="D646" s="521"/>
      <c r="E646" s="521"/>
      <c r="F646" s="521"/>
      <c r="G646" s="521"/>
      <c r="H646" s="521"/>
      <c r="I646" s="522"/>
      <c r="J646" s="523" t="str">
        <f>J634</f>
        <v>TA 2017</v>
      </c>
      <c r="K646" s="535"/>
      <c r="L646" s="535"/>
      <c r="M646" s="535"/>
      <c r="N646" s="536"/>
      <c r="O646" s="303" t="str">
        <f>O634</f>
        <v>TA 2016</v>
      </c>
      <c r="P646" s="304"/>
      <c r="Q646" s="304"/>
      <c r="R646" s="304"/>
      <c r="S646" s="305"/>
      <c r="T646" s="537" t="s">
        <v>118</v>
      </c>
      <c r="U646" s="537"/>
      <c r="V646" s="27"/>
    </row>
    <row r="647" spans="1:22" s="20" customFormat="1" ht="17.25" customHeight="1">
      <c r="A647" s="18"/>
      <c r="B647" s="538" t="s">
        <v>294</v>
      </c>
      <c r="C647" s="539"/>
      <c r="D647" s="539"/>
      <c r="E647" s="539"/>
      <c r="F647" s="539"/>
      <c r="G647" s="539"/>
      <c r="H647" s="539"/>
      <c r="I647" s="540"/>
      <c r="J647" s="476">
        <v>0</v>
      </c>
      <c r="K647" s="477"/>
      <c r="L647" s="477"/>
      <c r="M647" s="477"/>
      <c r="N647" s="477"/>
      <c r="O647" s="476">
        <v>0</v>
      </c>
      <c r="P647" s="477"/>
      <c r="Q647" s="477"/>
      <c r="R647" s="477"/>
      <c r="S647" s="477"/>
      <c r="T647" s="541">
        <v>0</v>
      </c>
      <c r="U647" s="541"/>
      <c r="V647" s="27"/>
    </row>
    <row r="648" spans="1:22" s="20" customFormat="1" ht="23.25" customHeight="1">
      <c r="A648" s="7"/>
      <c r="B648" s="538" t="s">
        <v>295</v>
      </c>
      <c r="C648" s="539"/>
      <c r="D648" s="539"/>
      <c r="E648" s="539"/>
      <c r="F648" s="539"/>
      <c r="G648" s="539"/>
      <c r="H648" s="539"/>
      <c r="I648" s="540"/>
      <c r="J648" s="476">
        <v>0</v>
      </c>
      <c r="K648" s="477"/>
      <c r="L648" s="477"/>
      <c r="M648" s="477"/>
      <c r="N648" s="477"/>
      <c r="O648" s="476">
        <v>0</v>
      </c>
      <c r="P648" s="477"/>
      <c r="Q648" s="477"/>
      <c r="R648" s="477"/>
      <c r="S648" s="477"/>
      <c r="T648" s="541">
        <v>0</v>
      </c>
      <c r="U648" s="541"/>
      <c r="V648" s="27"/>
    </row>
    <row r="649" spans="1:22" s="20" customFormat="1" ht="19.5" customHeight="1">
      <c r="A649" s="18"/>
      <c r="B649" s="542" t="s">
        <v>143</v>
      </c>
      <c r="C649" s="543"/>
      <c r="D649" s="543"/>
      <c r="E649" s="543"/>
      <c r="F649" s="543"/>
      <c r="G649" s="543"/>
      <c r="H649" s="543"/>
      <c r="I649" s="544"/>
      <c r="J649" s="456">
        <f>SUM(J647:N648)</f>
        <v>0</v>
      </c>
      <c r="K649" s="482"/>
      <c r="L649" s="482"/>
      <c r="M649" s="482"/>
      <c r="N649" s="482"/>
      <c r="O649" s="456">
        <f>SUM(O647:S648)</f>
        <v>0</v>
      </c>
      <c r="P649" s="482"/>
      <c r="Q649" s="482"/>
      <c r="R649" s="482"/>
      <c r="S649" s="482"/>
      <c r="T649" s="545">
        <v>0</v>
      </c>
      <c r="U649" s="545"/>
      <c r="V649" s="27"/>
    </row>
    <row r="650" spans="1:22" s="20" customFormat="1" ht="19.5" customHeight="1">
      <c r="A650" s="18"/>
      <c r="B650" s="12"/>
      <c r="C650" s="533"/>
      <c r="D650" s="533"/>
      <c r="E650" s="533"/>
      <c r="F650" s="533"/>
      <c r="G650" s="533"/>
      <c r="H650" s="533"/>
      <c r="I650" s="533"/>
      <c r="J650" s="533"/>
      <c r="K650" s="533"/>
      <c r="L650" s="533"/>
      <c r="M650" s="533"/>
      <c r="N650" s="533"/>
      <c r="O650" s="533"/>
      <c r="P650" s="533"/>
      <c r="Q650" s="533"/>
      <c r="R650" s="533"/>
      <c r="S650" s="533"/>
      <c r="T650" s="546"/>
      <c r="U650" s="547"/>
      <c r="V650" s="27"/>
    </row>
    <row r="651" spans="1:22" s="20" customFormat="1" ht="19.5" customHeight="1">
      <c r="A651" s="18"/>
      <c r="B651" s="12"/>
      <c r="C651" s="548" t="s">
        <v>7</v>
      </c>
      <c r="D651" s="491" t="s">
        <v>288</v>
      </c>
      <c r="E651" s="491"/>
      <c r="F651" s="491"/>
      <c r="G651" s="491"/>
      <c r="H651" s="491"/>
      <c r="I651" s="491"/>
      <c r="J651" s="491"/>
      <c r="K651" s="491"/>
      <c r="L651" s="491"/>
      <c r="M651" s="491"/>
      <c r="N651" s="491"/>
      <c r="O651" s="491"/>
      <c r="P651" s="491"/>
      <c r="Q651" s="491"/>
      <c r="R651" s="491"/>
      <c r="S651" s="491"/>
      <c r="T651" s="491"/>
      <c r="U651" s="491"/>
      <c r="V651" s="27"/>
    </row>
    <row r="652" spans="1:22" s="20" customFormat="1" ht="98.25" customHeight="1">
      <c r="A652" s="18"/>
      <c r="C652" s="37"/>
      <c r="D652" s="313" t="str">
        <f>"Saldo Kas di Bendahara Pengeluaran TA "&amp;'[1]2.ISIAN DATA SKPD'!D11&amp;" dan "&amp;'[1]2.ISIAN DATA SKPD'!D12&amp;" adalah masing-masing sebesar Rp. "&amp;FIXED('[1]4.NERACA'!I10)&amp;" dan Rp. "&amp;FIXED('[1]4.NERACA'!D10)&amp;" yang merupakan kas yang dikuasai, dikelola dan berada di bawah tanggung jawab Bendahara Pengeluaran yang berasal dari sisa UP/TU yang belum dipertanggung-jawabkan atau belum disetorkan ke Rekening Kas Daerah per tanggal neraca."</f>
        <v>Saldo Kas di Bendahara Pengeluaran TA 2017 dan 2016 adalah masing-masing sebesar Rp. 0.00 dan Rp. 39,841,000.00 yang merupakan kas yang dikuasai, dikelola dan berada di bawah tanggung jawab Bendahara Pengeluaran yang berasal dari sisa UP/TU yang belum dipertanggung-jawabkan atau belum disetorkan ke Rekening Kas Daerah per tanggal neraca.</v>
      </c>
      <c r="E652" s="313"/>
      <c r="F652" s="313"/>
      <c r="G652" s="313"/>
      <c r="H652" s="313"/>
      <c r="I652" s="313"/>
      <c r="J652" s="313"/>
      <c r="K652" s="313"/>
      <c r="L652" s="313"/>
      <c r="M652" s="313"/>
      <c r="N652" s="313"/>
      <c r="O652" s="313"/>
      <c r="P652" s="313"/>
      <c r="Q652" s="313"/>
      <c r="R652" s="313"/>
      <c r="S652" s="313"/>
      <c r="T652" s="313"/>
      <c r="U652" s="313"/>
      <c r="V652" s="27"/>
    </row>
    <row r="653" spans="1:22" s="20" customFormat="1" ht="22.5" customHeight="1">
      <c r="A653" s="18"/>
      <c r="C653" s="37"/>
      <c r="D653" s="313" t="s">
        <v>296</v>
      </c>
      <c r="E653" s="313"/>
      <c r="F653" s="313"/>
      <c r="G653" s="313"/>
      <c r="H653" s="313"/>
      <c r="I653" s="313"/>
      <c r="J653" s="313"/>
      <c r="K653" s="313"/>
      <c r="L653" s="313"/>
      <c r="M653" s="313"/>
      <c r="N653" s="313"/>
      <c r="O653" s="313"/>
      <c r="P653" s="313"/>
      <c r="Q653" s="313"/>
      <c r="R653" s="313"/>
      <c r="S653" s="313"/>
      <c r="T653" s="313"/>
      <c r="U653" s="313"/>
      <c r="V653" s="27"/>
    </row>
    <row r="654" spans="1:22" s="20" customFormat="1" ht="6.75" customHeight="1">
      <c r="A654" s="18"/>
      <c r="C654" s="37"/>
      <c r="D654" s="285"/>
      <c r="E654" s="285"/>
      <c r="F654" s="285"/>
      <c r="G654" s="285"/>
      <c r="H654" s="285"/>
      <c r="I654" s="285"/>
      <c r="J654" s="285"/>
      <c r="K654" s="285"/>
      <c r="L654" s="285"/>
      <c r="M654" s="285"/>
      <c r="N654" s="285"/>
      <c r="O654" s="285"/>
      <c r="P654" s="285"/>
      <c r="Q654" s="285"/>
      <c r="R654" s="285"/>
      <c r="S654" s="285"/>
      <c r="T654" s="285"/>
      <c r="U654" s="285"/>
      <c r="V654" s="27"/>
    </row>
    <row r="655" spans="1:22" s="20" customFormat="1" ht="9" customHeight="1">
      <c r="A655" s="18"/>
      <c r="C655" s="37"/>
      <c r="D655" s="285"/>
      <c r="E655" s="285"/>
      <c r="F655" s="285"/>
      <c r="G655" s="285"/>
      <c r="H655" s="285"/>
      <c r="I655" s="285"/>
      <c r="J655" s="285"/>
      <c r="K655" s="285"/>
      <c r="L655" s="285"/>
      <c r="M655" s="285"/>
      <c r="N655" s="285"/>
      <c r="O655" s="285"/>
      <c r="P655" s="285"/>
      <c r="Q655" s="285"/>
      <c r="R655" s="285"/>
      <c r="S655" s="285"/>
      <c r="T655" s="285"/>
      <c r="U655" s="285"/>
      <c r="V655" s="27"/>
    </row>
    <row r="656" spans="1:22" s="20" customFormat="1" ht="21.75" customHeight="1">
      <c r="A656" s="18"/>
      <c r="B656" s="386" t="s">
        <v>297</v>
      </c>
      <c r="C656" s="386"/>
      <c r="D656" s="386"/>
      <c r="E656" s="386"/>
      <c r="F656" s="386"/>
      <c r="G656" s="386"/>
      <c r="H656" s="386"/>
      <c r="I656" s="386"/>
      <c r="J656" s="386"/>
      <c r="K656" s="386"/>
      <c r="L656" s="386"/>
      <c r="M656" s="386"/>
      <c r="N656" s="386"/>
      <c r="O656" s="386"/>
      <c r="P656" s="386"/>
      <c r="Q656" s="386"/>
      <c r="R656" s="386"/>
      <c r="S656" s="386"/>
      <c r="T656" s="386"/>
      <c r="U656" s="386"/>
      <c r="V656" s="27"/>
    </row>
    <row r="657" spans="1:22" s="20" customFormat="1" ht="21.75" customHeight="1">
      <c r="A657" s="18"/>
      <c r="B657" s="520" t="s">
        <v>293</v>
      </c>
      <c r="C657" s="521"/>
      <c r="D657" s="521"/>
      <c r="E657" s="521"/>
      <c r="F657" s="521"/>
      <c r="G657" s="521"/>
      <c r="H657" s="521"/>
      <c r="I657" s="521"/>
      <c r="J657" s="521"/>
      <c r="K657" s="522"/>
      <c r="L657" s="523" t="str">
        <f>J646</f>
        <v>TA 2017</v>
      </c>
      <c r="M657" s="304"/>
      <c r="N657" s="304"/>
      <c r="O657" s="304"/>
      <c r="P657" s="305"/>
      <c r="Q657" s="303" t="str">
        <f>O646</f>
        <v>TA 2016</v>
      </c>
      <c r="R657" s="304"/>
      <c r="S657" s="304"/>
      <c r="T657" s="304"/>
      <c r="U657" s="305"/>
      <c r="V657" s="27"/>
    </row>
    <row r="658" spans="1:22" s="20" customFormat="1" ht="21.75" customHeight="1">
      <c r="A658" s="18"/>
      <c r="B658" s="549" t="s">
        <v>294</v>
      </c>
      <c r="C658" s="550"/>
      <c r="D658" s="550"/>
      <c r="E658" s="550"/>
      <c r="F658" s="550"/>
      <c r="G658" s="550"/>
      <c r="H658" s="550"/>
      <c r="I658" s="550"/>
      <c r="J658" s="550"/>
      <c r="K658" s="551"/>
      <c r="L658" s="476">
        <v>0</v>
      </c>
      <c r="M658" s="477"/>
      <c r="N658" s="477"/>
      <c r="O658" s="477"/>
      <c r="P658" s="477"/>
      <c r="Q658" s="450">
        <v>0</v>
      </c>
      <c r="R658" s="450"/>
      <c r="S658" s="450"/>
      <c r="T658" s="450"/>
      <c r="U658" s="450"/>
      <c r="V658" s="27"/>
    </row>
    <row r="659" spans="1:22" s="20" customFormat="1" ht="18.75" customHeight="1">
      <c r="A659" s="552"/>
      <c r="B659" s="549" t="s">
        <v>298</v>
      </c>
      <c r="C659" s="550"/>
      <c r="D659" s="550"/>
      <c r="E659" s="550"/>
      <c r="F659" s="550"/>
      <c r="G659" s="550"/>
      <c r="H659" s="550"/>
      <c r="I659" s="550"/>
      <c r="J659" s="550"/>
      <c r="K659" s="551"/>
      <c r="L659" s="476">
        <f>'[1]4.NERACA'!I10</f>
        <v>0</v>
      </c>
      <c r="M659" s="477"/>
      <c r="N659" s="477"/>
      <c r="O659" s="477"/>
      <c r="P659" s="477"/>
      <c r="Q659" s="450">
        <f>'[1]4.NERACA'!D10</f>
        <v>39841000</v>
      </c>
      <c r="R659" s="450"/>
      <c r="S659" s="450"/>
      <c r="T659" s="450"/>
      <c r="U659" s="450"/>
      <c r="V659" s="27"/>
    </row>
    <row r="660" spans="1:22" s="20" customFormat="1" ht="22.5" customHeight="1">
      <c r="A660" s="18"/>
      <c r="B660" s="542" t="s">
        <v>143</v>
      </c>
      <c r="C660" s="543"/>
      <c r="D660" s="543"/>
      <c r="E660" s="543"/>
      <c r="F660" s="543"/>
      <c r="G660" s="543"/>
      <c r="H660" s="543"/>
      <c r="I660" s="543"/>
      <c r="J660" s="543"/>
      <c r="K660" s="544"/>
      <c r="L660" s="456">
        <f>SUM(L658:P659)</f>
        <v>0</v>
      </c>
      <c r="M660" s="482"/>
      <c r="N660" s="482"/>
      <c r="O660" s="482"/>
      <c r="P660" s="482"/>
      <c r="Q660" s="553">
        <f>SUM(Q658:U659)</f>
        <v>39841000</v>
      </c>
      <c r="R660" s="553"/>
      <c r="S660" s="553"/>
      <c r="T660" s="553"/>
      <c r="U660" s="553"/>
      <c r="V660" s="27"/>
    </row>
    <row r="661" spans="1:22" s="20" customFormat="1" ht="33" customHeight="1">
      <c r="A661" s="18"/>
      <c r="B661" s="27"/>
      <c r="C661" s="27"/>
      <c r="D661" s="163"/>
      <c r="E661" s="164"/>
      <c r="F661" s="164"/>
      <c r="G661" s="164"/>
      <c r="H661" s="164"/>
      <c r="I661" s="164"/>
      <c r="J661" s="164"/>
      <c r="K661" s="164"/>
      <c r="L661" s="164"/>
      <c r="M661" s="164"/>
      <c r="N661" s="164"/>
      <c r="O661" s="164"/>
      <c r="P661" s="164"/>
      <c r="Q661" s="164"/>
      <c r="R661" s="164"/>
      <c r="S661" s="164"/>
      <c r="T661" s="46"/>
      <c r="U661" s="46"/>
      <c r="V661" s="27"/>
    </row>
    <row r="662" spans="1:22" s="20" customFormat="1" ht="20.25" customHeight="1">
      <c r="A662" s="18"/>
      <c r="B662" s="12"/>
      <c r="C662" s="548" t="s">
        <v>165</v>
      </c>
      <c r="D662" s="491" t="s">
        <v>299</v>
      </c>
      <c r="E662" s="491"/>
      <c r="F662" s="491"/>
      <c r="G662" s="491"/>
      <c r="H662" s="491"/>
      <c r="I662" s="491"/>
      <c r="J662" s="491"/>
      <c r="K662" s="491"/>
      <c r="L662" s="491"/>
      <c r="M662" s="491"/>
      <c r="N662" s="491"/>
      <c r="O662" s="491"/>
      <c r="P662" s="491"/>
      <c r="Q662" s="491"/>
      <c r="R662" s="491"/>
      <c r="S662" s="491"/>
      <c r="T662" s="491"/>
      <c r="U662" s="491"/>
      <c r="V662" s="27"/>
    </row>
    <row r="663" spans="1:22" s="20" customFormat="1" ht="46.5" customHeight="1">
      <c r="A663" s="18"/>
      <c r="C663" s="37"/>
      <c r="D663" s="313" t="str">
        <f>"Saldo Kas per tanggal "&amp;'[1]2.ISIAN DATA SKPD'!D8&amp;" dan "&amp;'[1]2.ISIAN DATA SKPD'!D12&amp;" tidak ada mutasi maupun koreksi karena pada Dinas Pekerjaan Umum dan Penataan Ruang tidak ada anggaran BLUD"</f>
        <v>Saldo Kas per tanggal 31 Desember 2017 dan 2016 tidak ada mutasi maupun koreksi karena pada Dinas Pekerjaan Umum dan Penataan Ruang tidak ada anggaran BLUD</v>
      </c>
      <c r="E663" s="313"/>
      <c r="F663" s="313"/>
      <c r="G663" s="313"/>
      <c r="H663" s="313"/>
      <c r="I663" s="313"/>
      <c r="J663" s="313"/>
      <c r="K663" s="313"/>
      <c r="L663" s="313"/>
      <c r="M663" s="313"/>
      <c r="N663" s="313"/>
      <c r="O663" s="313"/>
      <c r="P663" s="313"/>
      <c r="Q663" s="313"/>
      <c r="R663" s="313"/>
      <c r="S663" s="313"/>
      <c r="T663" s="313"/>
      <c r="U663" s="313"/>
      <c r="V663" s="27"/>
    </row>
    <row r="664" spans="1:22" s="20" customFormat="1" ht="62.25" customHeight="1">
      <c r="A664" s="18"/>
      <c r="C664" s="37"/>
      <c r="D664" s="313" t="s">
        <v>300</v>
      </c>
      <c r="E664" s="313"/>
      <c r="F664" s="313"/>
      <c r="G664" s="313"/>
      <c r="H664" s="313"/>
      <c r="I664" s="313"/>
      <c r="J664" s="313"/>
      <c r="K664" s="313"/>
      <c r="L664" s="313"/>
      <c r="M664" s="313"/>
      <c r="N664" s="313"/>
      <c r="O664" s="313"/>
      <c r="P664" s="313"/>
      <c r="Q664" s="313"/>
      <c r="R664" s="313"/>
      <c r="S664" s="313"/>
      <c r="T664" s="313"/>
      <c r="U664" s="313"/>
      <c r="V664" s="27"/>
    </row>
    <row r="665" spans="1:22" s="20" customFormat="1" ht="9.75" customHeight="1">
      <c r="A665" s="18"/>
      <c r="C665" s="37"/>
      <c r="D665" s="285"/>
      <c r="E665" s="285"/>
      <c r="F665" s="285"/>
      <c r="G665" s="285"/>
      <c r="H665" s="285"/>
      <c r="I665" s="285"/>
      <c r="J665" s="285"/>
      <c r="K665" s="285"/>
      <c r="L665" s="285"/>
      <c r="M665" s="285"/>
      <c r="N665" s="285"/>
      <c r="O665" s="285"/>
      <c r="P665" s="285"/>
      <c r="Q665" s="285"/>
      <c r="R665" s="285"/>
      <c r="S665" s="285"/>
      <c r="T665" s="285"/>
      <c r="U665" s="285"/>
      <c r="V665" s="27"/>
    </row>
    <row r="666" spans="1:22" s="20" customFormat="1" ht="15.75" customHeight="1">
      <c r="A666" s="18"/>
      <c r="B666" s="386" t="s">
        <v>301</v>
      </c>
      <c r="C666" s="386"/>
      <c r="D666" s="386"/>
      <c r="E666" s="386"/>
      <c r="F666" s="386"/>
      <c r="G666" s="386"/>
      <c r="H666" s="386"/>
      <c r="I666" s="386"/>
      <c r="J666" s="386"/>
      <c r="K666" s="386"/>
      <c r="L666" s="386"/>
      <c r="M666" s="386"/>
      <c r="N666" s="386"/>
      <c r="O666" s="386"/>
      <c r="P666" s="386"/>
      <c r="Q666" s="386"/>
      <c r="R666" s="386"/>
      <c r="S666" s="386"/>
      <c r="T666" s="386"/>
      <c r="U666" s="386"/>
      <c r="V666" s="27"/>
    </row>
    <row r="667" spans="1:22" s="20" customFormat="1" ht="30.75" customHeight="1">
      <c r="A667" s="18"/>
      <c r="B667" s="520" t="s">
        <v>293</v>
      </c>
      <c r="C667" s="521"/>
      <c r="D667" s="521"/>
      <c r="E667" s="521"/>
      <c r="F667" s="521"/>
      <c r="G667" s="521"/>
      <c r="H667" s="521"/>
      <c r="I667" s="522"/>
      <c r="J667" s="523" t="str">
        <f>L657</f>
        <v>TA 2017</v>
      </c>
      <c r="K667" s="535"/>
      <c r="L667" s="535"/>
      <c r="M667" s="535"/>
      <c r="N667" s="536"/>
      <c r="O667" s="303" t="str">
        <f>Q657</f>
        <v>TA 2016</v>
      </c>
      <c r="P667" s="304"/>
      <c r="Q667" s="304"/>
      <c r="R667" s="304"/>
      <c r="S667" s="305"/>
      <c r="T667" s="554" t="s">
        <v>118</v>
      </c>
      <c r="U667" s="555"/>
      <c r="V667" s="27"/>
    </row>
    <row r="668" spans="1:22" s="20" customFormat="1" ht="21.75" customHeight="1">
      <c r="A668" s="530"/>
      <c r="B668" s="556" t="s">
        <v>302</v>
      </c>
      <c r="C668" s="557"/>
      <c r="D668" s="557"/>
      <c r="E668" s="557"/>
      <c r="F668" s="557"/>
      <c r="G668" s="557"/>
      <c r="H668" s="557"/>
      <c r="I668" s="558"/>
      <c r="J668" s="476">
        <v>0</v>
      </c>
      <c r="K668" s="477"/>
      <c r="L668" s="477"/>
      <c r="M668" s="477"/>
      <c r="N668" s="477"/>
      <c r="O668" s="476">
        <v>0</v>
      </c>
      <c r="P668" s="477"/>
      <c r="Q668" s="477"/>
      <c r="R668" s="477"/>
      <c r="S668" s="477"/>
      <c r="T668" s="559"/>
      <c r="U668" s="559"/>
      <c r="V668" s="27"/>
    </row>
    <row r="669" spans="1:22" s="20" customFormat="1" ht="22.5" customHeight="1">
      <c r="A669" s="530"/>
      <c r="B669" s="549" t="s">
        <v>303</v>
      </c>
      <c r="C669" s="550"/>
      <c r="D669" s="550"/>
      <c r="E669" s="550"/>
      <c r="F669" s="550"/>
      <c r="G669" s="550"/>
      <c r="H669" s="550"/>
      <c r="I669" s="551"/>
      <c r="J669" s="476">
        <v>0</v>
      </c>
      <c r="K669" s="477"/>
      <c r="L669" s="477"/>
      <c r="M669" s="477"/>
      <c r="N669" s="477"/>
      <c r="O669" s="476">
        <v>0</v>
      </c>
      <c r="P669" s="477"/>
      <c r="Q669" s="477"/>
      <c r="R669" s="477"/>
      <c r="S669" s="477"/>
      <c r="T669" s="559"/>
      <c r="U669" s="559"/>
      <c r="V669" s="27"/>
    </row>
    <row r="670" spans="1:22" s="20" customFormat="1" ht="22.5" customHeight="1">
      <c r="A670" s="18"/>
      <c r="B670" s="520" t="s">
        <v>143</v>
      </c>
      <c r="C670" s="521"/>
      <c r="D670" s="521"/>
      <c r="E670" s="521"/>
      <c r="F670" s="521"/>
      <c r="G670" s="521"/>
      <c r="H670" s="521"/>
      <c r="I670" s="522"/>
      <c r="J670" s="456">
        <f>SUM(J668:N669)</f>
        <v>0</v>
      </c>
      <c r="K670" s="482"/>
      <c r="L670" s="482"/>
      <c r="M670" s="482"/>
      <c r="N670" s="482"/>
      <c r="O670" s="456">
        <f>SUM(O668:S669)</f>
        <v>0</v>
      </c>
      <c r="P670" s="482"/>
      <c r="Q670" s="482"/>
      <c r="R670" s="482"/>
      <c r="S670" s="482"/>
      <c r="T670" s="559">
        <v>0</v>
      </c>
      <c r="U670" s="559"/>
      <c r="V670" s="27"/>
    </row>
    <row r="671" spans="1:22" s="20" customFormat="1" ht="16.5" customHeight="1">
      <c r="A671" s="18"/>
      <c r="B671" s="92"/>
      <c r="C671" s="92"/>
      <c r="D671" s="92"/>
      <c r="E671" s="92"/>
      <c r="F671" s="92"/>
      <c r="G671" s="92"/>
      <c r="H671" s="92"/>
      <c r="I671" s="92"/>
      <c r="J671" s="483"/>
      <c r="K671" s="483"/>
      <c r="L671" s="483"/>
      <c r="M671" s="483"/>
      <c r="N671" s="483"/>
      <c r="O671" s="483"/>
      <c r="P671" s="483"/>
      <c r="Q671" s="483"/>
      <c r="R671" s="483"/>
      <c r="S671" s="483"/>
      <c r="T671" s="560"/>
      <c r="U671" s="560"/>
      <c r="V671" s="27"/>
    </row>
    <row r="672" spans="1:22" s="20" customFormat="1" ht="16.5" customHeight="1">
      <c r="A672" s="18"/>
      <c r="B672" s="27"/>
      <c r="C672" s="491" t="s">
        <v>304</v>
      </c>
      <c r="D672" s="491"/>
      <c r="E672" s="491"/>
      <c r="F672" s="491"/>
      <c r="G672" s="491"/>
      <c r="H672" s="491"/>
      <c r="I672" s="491"/>
      <c r="J672" s="491"/>
      <c r="K672" s="491"/>
      <c r="L672" s="491"/>
      <c r="M672" s="491"/>
      <c r="N672" s="491"/>
      <c r="O672" s="491"/>
      <c r="P672" s="491"/>
      <c r="Q672" s="491"/>
      <c r="R672" s="491"/>
      <c r="S672" s="491"/>
      <c r="T672" s="491"/>
      <c r="U672" s="491"/>
      <c r="V672" s="27"/>
    </row>
    <row r="673" spans="1:22" s="20" customFormat="1" ht="33" customHeight="1">
      <c r="A673" s="18"/>
      <c r="B673" s="27"/>
      <c r="C673" s="561"/>
      <c r="D673" s="562" t="s">
        <v>305</v>
      </c>
      <c r="E673" s="562"/>
      <c r="F673" s="562"/>
      <c r="G673" s="562"/>
      <c r="H673" s="562"/>
      <c r="I673" s="562"/>
      <c r="J673" s="562"/>
      <c r="K673" s="562"/>
      <c r="L673" s="562"/>
      <c r="M673" s="562"/>
      <c r="N673" s="562"/>
      <c r="O673" s="562"/>
      <c r="P673" s="562"/>
      <c r="Q673" s="562"/>
      <c r="R673" s="562"/>
      <c r="S673" s="562"/>
      <c r="T673" s="562"/>
      <c r="U673" s="562"/>
      <c r="V673" s="27"/>
    </row>
    <row r="674" spans="1:22" s="20" customFormat="1" ht="22.5" customHeight="1">
      <c r="A674" s="18"/>
      <c r="B674" s="12"/>
      <c r="C674" s="491" t="s">
        <v>306</v>
      </c>
      <c r="D674" s="491"/>
      <c r="E674" s="491"/>
      <c r="F674" s="491"/>
      <c r="G674" s="491"/>
      <c r="H674" s="491"/>
      <c r="I674" s="491"/>
      <c r="J674" s="491"/>
      <c r="K674" s="491"/>
      <c r="L674" s="491"/>
      <c r="M674" s="491"/>
      <c r="N674" s="491"/>
      <c r="O674" s="491"/>
      <c r="P674" s="491"/>
      <c r="Q674" s="491"/>
      <c r="R674" s="491"/>
      <c r="S674" s="491"/>
      <c r="T674" s="491"/>
      <c r="U674" s="491"/>
      <c r="V674" s="27"/>
    </row>
    <row r="675" spans="1:22" s="20" customFormat="1" ht="47.25" customHeight="1">
      <c r="A675" s="18"/>
      <c r="C675" s="428" t="str">
        <f>"Saldo  Piutang Pendapatan per tanggal "&amp;'[1]2.ISIAN DATA SKPD'!D8&amp;" dan "&amp;'[1]2.ISIAN DATA SKPD'!D12&amp;"  masing-masing adalah sebesar Rp. "&amp;FIXED(J685)&amp;" dan Rp. "&amp;FIXED(O685)&amp;" atau  tidak mengalami kenaikan/penurunan ."</f>
        <v>Saldo  Piutang Pendapatan per tanggal 31 Desember 2017 dan 2016  masing-masing adalah sebesar Rp. 0.00 dan Rp. 0.00 atau  tidak mengalami kenaikan/penurunan .</v>
      </c>
      <c r="D675" s="428"/>
      <c r="E675" s="428"/>
      <c r="F675" s="428"/>
      <c r="G675" s="428"/>
      <c r="H675" s="428"/>
      <c r="I675" s="428"/>
      <c r="J675" s="428"/>
      <c r="K675" s="428"/>
      <c r="L675" s="428"/>
      <c r="M675" s="428"/>
      <c r="N675" s="428"/>
      <c r="O675" s="428"/>
      <c r="P675" s="428"/>
      <c r="Q675" s="428"/>
      <c r="R675" s="428"/>
      <c r="S675" s="428"/>
      <c r="T675" s="428"/>
      <c r="U675" s="428"/>
      <c r="V675" s="27"/>
    </row>
    <row r="676" spans="1:22" s="20" customFormat="1" ht="66" customHeight="1">
      <c r="A676" s="18"/>
      <c r="C676" s="313" t="s">
        <v>307</v>
      </c>
      <c r="D676" s="313"/>
      <c r="E676" s="313"/>
      <c r="F676" s="313"/>
      <c r="G676" s="313"/>
      <c r="H676" s="313"/>
      <c r="I676" s="313"/>
      <c r="J676" s="313"/>
      <c r="K676" s="313"/>
      <c r="L676" s="313"/>
      <c r="M676" s="313"/>
      <c r="N676" s="313"/>
      <c r="O676" s="313"/>
      <c r="P676" s="313"/>
      <c r="Q676" s="313"/>
      <c r="R676" s="313"/>
      <c r="S676" s="313"/>
      <c r="T676" s="313"/>
      <c r="U676" s="313"/>
      <c r="V676" s="27"/>
    </row>
    <row r="677" spans="1:22" s="20" customFormat="1" ht="18.75" customHeight="1">
      <c r="A677" s="18"/>
      <c r="C677" s="285"/>
      <c r="D677" s="285"/>
      <c r="E677" s="285"/>
      <c r="F677" s="285"/>
      <c r="G677" s="285"/>
      <c r="H677" s="285"/>
      <c r="I677" s="285"/>
      <c r="J677" s="285"/>
      <c r="K677" s="285"/>
      <c r="L677" s="285"/>
      <c r="M677" s="285"/>
      <c r="N677" s="285"/>
      <c r="O677" s="285"/>
      <c r="P677" s="285"/>
      <c r="Q677" s="285"/>
      <c r="R677" s="285"/>
      <c r="S677" s="285"/>
      <c r="T677" s="285"/>
      <c r="U677" s="285"/>
      <c r="V677" s="27"/>
    </row>
    <row r="678" spans="1:22" s="20" customFormat="1" ht="19.5" customHeight="1">
      <c r="A678" s="18"/>
      <c r="B678" s="386" t="s">
        <v>308</v>
      </c>
      <c r="C678" s="386"/>
      <c r="D678" s="386"/>
      <c r="E678" s="386"/>
      <c r="F678" s="386"/>
      <c r="G678" s="386"/>
      <c r="H678" s="386"/>
      <c r="I678" s="386"/>
      <c r="J678" s="386"/>
      <c r="K678" s="386"/>
      <c r="L678" s="386"/>
      <c r="M678" s="386"/>
      <c r="N678" s="386"/>
      <c r="O678" s="386"/>
      <c r="P678" s="386"/>
      <c r="Q678" s="386"/>
      <c r="R678" s="386"/>
      <c r="S678" s="386"/>
      <c r="T678" s="386"/>
      <c r="U678" s="386"/>
      <c r="V678" s="27"/>
    </row>
    <row r="679" spans="1:22" s="20" customFormat="1" ht="24" customHeight="1">
      <c r="A679" s="18"/>
      <c r="B679" s="520" t="s">
        <v>293</v>
      </c>
      <c r="C679" s="521"/>
      <c r="D679" s="521"/>
      <c r="E679" s="521"/>
      <c r="F679" s="521"/>
      <c r="G679" s="521"/>
      <c r="H679" s="521"/>
      <c r="I679" s="522"/>
      <c r="J679" s="523" t="str">
        <f>J667</f>
        <v>TA 2017</v>
      </c>
      <c r="K679" s="535"/>
      <c r="L679" s="535"/>
      <c r="M679" s="535"/>
      <c r="N679" s="536"/>
      <c r="O679" s="303" t="str">
        <f>O667</f>
        <v>TA 2016</v>
      </c>
      <c r="P679" s="304"/>
      <c r="Q679" s="304"/>
      <c r="R679" s="304"/>
      <c r="S679" s="305"/>
      <c r="T679" s="537" t="s">
        <v>118</v>
      </c>
      <c r="U679" s="537"/>
      <c r="V679" s="27"/>
    </row>
    <row r="680" spans="1:22" s="20" customFormat="1" ht="16.5" customHeight="1">
      <c r="A680" s="18"/>
      <c r="B680" s="294" t="str">
        <f>'[1]4.NERACA'!C23</f>
        <v>Piutang Pajak</v>
      </c>
      <c r="C680" s="295"/>
      <c r="D680" s="295"/>
      <c r="E680" s="295"/>
      <c r="F680" s="295"/>
      <c r="G680" s="295"/>
      <c r="H680" s="295"/>
      <c r="I680" s="296"/>
      <c r="J680" s="476">
        <f>'[1]4.NERACA'!I23</f>
        <v>0</v>
      </c>
      <c r="K680" s="477"/>
      <c r="L680" s="477"/>
      <c r="M680" s="477"/>
      <c r="N680" s="477"/>
      <c r="O680" s="476">
        <f>'[1]4.NERACA'!D23</f>
        <v>0</v>
      </c>
      <c r="P680" s="477"/>
      <c r="Q680" s="477"/>
      <c r="R680" s="477"/>
      <c r="S680" s="477"/>
      <c r="T680" s="563"/>
      <c r="U680" s="563"/>
      <c r="V680" s="27"/>
    </row>
    <row r="681" spans="1:22" s="20" customFormat="1" ht="17.25" customHeight="1">
      <c r="A681" s="18"/>
      <c r="B681" s="294" t="str">
        <f>'[1]4.NERACA'!C24</f>
        <v>Piutang Retribusi</v>
      </c>
      <c r="C681" s="295"/>
      <c r="D681" s="295"/>
      <c r="E681" s="295"/>
      <c r="F681" s="295"/>
      <c r="G681" s="295"/>
      <c r="H681" s="295"/>
      <c r="I681" s="296"/>
      <c r="J681" s="476">
        <f>'[1]4.NERACA'!I24</f>
        <v>0</v>
      </c>
      <c r="K681" s="477"/>
      <c r="L681" s="477"/>
      <c r="M681" s="477"/>
      <c r="N681" s="477"/>
      <c r="O681" s="476">
        <f>'[1]4.NERACA'!D24</f>
        <v>0</v>
      </c>
      <c r="P681" s="477"/>
      <c r="Q681" s="477"/>
      <c r="R681" s="477"/>
      <c r="S681" s="477"/>
      <c r="T681" s="563"/>
      <c r="U681" s="563"/>
      <c r="V681" s="27"/>
    </row>
    <row r="682" spans="1:22" s="20" customFormat="1" ht="15.75" customHeight="1">
      <c r="A682" s="18"/>
      <c r="B682" s="294" t="str">
        <f>'[1]4.NERACA'!C25</f>
        <v>Piutang Hasil Pengelolaan Kekayaan Daerah yang Dipisahkan</v>
      </c>
      <c r="C682" s="295"/>
      <c r="D682" s="295"/>
      <c r="E682" s="295"/>
      <c r="F682" s="295"/>
      <c r="G682" s="295"/>
      <c r="H682" s="295"/>
      <c r="I682" s="296"/>
      <c r="J682" s="476">
        <f>'[1]4.NERACA'!I25</f>
        <v>0</v>
      </c>
      <c r="K682" s="477"/>
      <c r="L682" s="477"/>
      <c r="M682" s="477"/>
      <c r="N682" s="477"/>
      <c r="O682" s="476">
        <f>'[1]4.NERACA'!D25</f>
        <v>0</v>
      </c>
      <c r="P682" s="477"/>
      <c r="Q682" s="477"/>
      <c r="R682" s="477"/>
      <c r="S682" s="477"/>
      <c r="T682" s="563"/>
      <c r="U682" s="563"/>
      <c r="V682" s="27"/>
    </row>
    <row r="683" spans="1:22" s="20" customFormat="1" ht="14.25" customHeight="1">
      <c r="A683" s="18"/>
      <c r="B683" s="294" t="str">
        <f>'[1]4.NERACA'!C26</f>
        <v>Piutang Lain-lain PAD yang Sah</v>
      </c>
      <c r="C683" s="295"/>
      <c r="D683" s="295"/>
      <c r="E683" s="295"/>
      <c r="F683" s="295"/>
      <c r="G683" s="295"/>
      <c r="H683" s="295"/>
      <c r="I683" s="296"/>
      <c r="J683" s="476">
        <f>'[1]4.NERACA'!I26</f>
        <v>0</v>
      </c>
      <c r="K683" s="477"/>
      <c r="L683" s="477"/>
      <c r="M683" s="477"/>
      <c r="N683" s="477"/>
      <c r="O683" s="476">
        <f>'[1]4.NERACA'!D26</f>
        <v>0</v>
      </c>
      <c r="P683" s="477"/>
      <c r="Q683" s="477"/>
      <c r="R683" s="477"/>
      <c r="S683" s="477"/>
      <c r="T683" s="563"/>
      <c r="U683" s="563"/>
      <c r="V683" s="27"/>
    </row>
    <row r="684" spans="1:22" s="20" customFormat="1" ht="14.25" customHeight="1">
      <c r="A684" s="18"/>
      <c r="B684" s="294" t="str">
        <f>'[1]4.NERACA'!C27</f>
        <v>Piutang Pendapatan Lainnya</v>
      </c>
      <c r="C684" s="295"/>
      <c r="D684" s="295"/>
      <c r="E684" s="295"/>
      <c r="F684" s="295"/>
      <c r="G684" s="295"/>
      <c r="H684" s="295"/>
      <c r="I684" s="296"/>
      <c r="J684" s="476">
        <f>'[1]4.NERACA'!I27</f>
        <v>0</v>
      </c>
      <c r="K684" s="477"/>
      <c r="L684" s="477"/>
      <c r="M684" s="477"/>
      <c r="N684" s="477"/>
      <c r="O684" s="476">
        <f>'[1]4.NERACA'!D27</f>
        <v>0</v>
      </c>
      <c r="P684" s="477"/>
      <c r="Q684" s="477"/>
      <c r="R684" s="477"/>
      <c r="S684" s="477"/>
      <c r="T684" s="563"/>
      <c r="U684" s="563"/>
      <c r="V684" s="27"/>
    </row>
    <row r="685" spans="1:22" s="20" customFormat="1" ht="21.75" customHeight="1">
      <c r="A685" s="18"/>
      <c r="B685" s="520" t="s">
        <v>143</v>
      </c>
      <c r="C685" s="521"/>
      <c r="D685" s="521"/>
      <c r="E685" s="521"/>
      <c r="F685" s="521"/>
      <c r="G685" s="521"/>
      <c r="H685" s="521"/>
      <c r="I685" s="522"/>
      <c r="J685" s="456">
        <f>SUM(J680:N684)</f>
        <v>0</v>
      </c>
      <c r="K685" s="482"/>
      <c r="L685" s="482"/>
      <c r="M685" s="482"/>
      <c r="N685" s="482"/>
      <c r="O685" s="456">
        <f>SUM(O680:S684)</f>
        <v>0</v>
      </c>
      <c r="P685" s="482"/>
      <c r="Q685" s="482"/>
      <c r="R685" s="482"/>
      <c r="S685" s="482"/>
      <c r="T685" s="564">
        <v>0</v>
      </c>
      <c r="U685" s="564"/>
      <c r="V685" s="27"/>
    </row>
    <row r="686" spans="1:22" s="20" customFormat="1" ht="20.25" customHeight="1">
      <c r="A686" s="18"/>
      <c r="B686" s="125"/>
      <c r="C686" s="125"/>
      <c r="D686" s="125"/>
      <c r="E686" s="125"/>
      <c r="F686" s="125"/>
      <c r="G686" s="125"/>
      <c r="H686" s="125"/>
      <c r="I686" s="125"/>
      <c r="J686" s="125"/>
      <c r="K686" s="125"/>
      <c r="L686" s="483"/>
      <c r="M686" s="483"/>
      <c r="N686" s="483"/>
      <c r="O686" s="483"/>
      <c r="P686" s="483"/>
      <c r="Q686" s="483"/>
      <c r="R686" s="483"/>
      <c r="S686" s="483"/>
      <c r="T686" s="483"/>
      <c r="U686" s="483"/>
      <c r="V686" s="27"/>
    </row>
    <row r="687" spans="1:22" s="20" customFormat="1" ht="14.25" customHeight="1">
      <c r="A687" s="18"/>
      <c r="C687" s="313" t="s">
        <v>309</v>
      </c>
      <c r="D687" s="313"/>
      <c r="E687" s="313"/>
      <c r="F687" s="313"/>
      <c r="G687" s="313"/>
      <c r="H687" s="313"/>
      <c r="I687" s="313"/>
      <c r="J687" s="313"/>
      <c r="K687" s="313"/>
      <c r="L687" s="313"/>
      <c r="M687" s="313"/>
      <c r="N687" s="313"/>
      <c r="O687" s="313"/>
      <c r="P687" s="313"/>
      <c r="Q687" s="313"/>
      <c r="R687" s="313"/>
      <c r="S687" s="313"/>
      <c r="T687" s="313"/>
      <c r="U687" s="313"/>
      <c r="V687" s="27"/>
    </row>
    <row r="688" spans="1:22" s="20" customFormat="1" ht="16.5" customHeight="1">
      <c r="A688" s="18"/>
      <c r="B688" s="125"/>
      <c r="C688" s="565" t="s">
        <v>5</v>
      </c>
      <c r="D688" s="566" t="s">
        <v>310</v>
      </c>
      <c r="E688" s="566"/>
      <c r="F688" s="566"/>
      <c r="G688" s="566"/>
      <c r="H688" s="566"/>
      <c r="I688" s="566"/>
      <c r="J688" s="566"/>
      <c r="K688" s="566"/>
      <c r="L688" s="566"/>
      <c r="M688" s="566"/>
      <c r="N688" s="566"/>
      <c r="O688" s="566"/>
      <c r="P688" s="566"/>
      <c r="Q688" s="566"/>
      <c r="R688" s="566"/>
      <c r="S688" s="566"/>
      <c r="T688" s="566"/>
      <c r="U688" s="566"/>
      <c r="V688" s="27"/>
    </row>
    <row r="689" spans="1:22" s="20" customFormat="1" ht="15" customHeight="1">
      <c r="A689" s="18"/>
      <c r="C689" s="567"/>
      <c r="D689" s="568" t="str">
        <f>"Piutang Pajak Daerah per "&amp;'[1]2.ISIAN DATA SKPD'!D8&amp;" sebesar Rp. "&amp;FIXED(R699)&amp;" adalah hak Pemerintah daerah atas pendapatan pajak tahun berkenaan, yang sudah diterbitkan Surat Ketetapan Pajak Daerah (SKPD) Namun sampai tanggal  belum dibayar oleh Wajib Pajak bersangkutan  dengan rincian mutasi sebagai berikut :"</f>
        <v>Piutang Pajak Daerah per 31 Desember 2017 sebesar Rp. 0.00 adalah hak Pemerintah daerah atas pendapatan pajak tahun berkenaan, yang sudah diterbitkan Surat Ketetapan Pajak Daerah (SKPD) Namun sampai tanggal  belum dibayar oleh Wajib Pajak bersangkutan  dengan rincian mutasi sebagai berikut :</v>
      </c>
      <c r="E689" s="568"/>
      <c r="F689" s="568"/>
      <c r="G689" s="568"/>
      <c r="H689" s="568"/>
      <c r="I689" s="568"/>
      <c r="J689" s="568"/>
      <c r="K689" s="568"/>
      <c r="L689" s="568"/>
      <c r="M689" s="568"/>
      <c r="N689" s="568"/>
      <c r="O689" s="568"/>
      <c r="P689" s="568"/>
      <c r="Q689" s="568"/>
      <c r="R689" s="568"/>
      <c r="S689" s="568"/>
      <c r="T689" s="568"/>
      <c r="U689" s="568"/>
      <c r="V689" s="27"/>
    </row>
    <row r="690" spans="1:22" s="20" customFormat="1" ht="22.5" customHeight="1">
      <c r="A690" s="18"/>
      <c r="B690" s="569" t="s">
        <v>311</v>
      </c>
      <c r="C690" s="570" t="s">
        <v>270</v>
      </c>
      <c r="D690" s="571"/>
      <c r="E690" s="572"/>
      <c r="F690" s="573" t="s">
        <v>312</v>
      </c>
      <c r="G690" s="457"/>
      <c r="H690" s="457"/>
      <c r="I690" s="458"/>
      <c r="J690" s="574" t="str">
        <f>"MUTASI  TA "&amp;'[1]2.ISIAN DATA SKPD'!D11&amp;""</f>
        <v>MUTASI  TA 2017</v>
      </c>
      <c r="K690" s="575"/>
      <c r="L690" s="575"/>
      <c r="M690" s="575"/>
      <c r="N690" s="575"/>
      <c r="O690" s="575"/>
      <c r="P690" s="575"/>
      <c r="Q690" s="576"/>
      <c r="R690" s="573" t="s">
        <v>313</v>
      </c>
      <c r="S690" s="457"/>
      <c r="T690" s="457"/>
      <c r="U690" s="458"/>
      <c r="V690" s="27"/>
    </row>
    <row r="691" spans="1:22" s="20" customFormat="1" ht="22.5" customHeight="1">
      <c r="A691" s="18"/>
      <c r="B691" s="577"/>
      <c r="C691" s="578"/>
      <c r="D691" s="579"/>
      <c r="E691" s="580"/>
      <c r="F691" s="574">
        <f>'[1]2.ISIAN DATA SKPD'!D11</f>
        <v>2017</v>
      </c>
      <c r="G691" s="457"/>
      <c r="H691" s="457"/>
      <c r="I691" s="458"/>
      <c r="J691" s="573" t="s">
        <v>314</v>
      </c>
      <c r="K691" s="457"/>
      <c r="L691" s="457"/>
      <c r="M691" s="458"/>
      <c r="N691" s="573" t="s">
        <v>315</v>
      </c>
      <c r="O691" s="457"/>
      <c r="P691" s="457"/>
      <c r="Q691" s="458"/>
      <c r="R691" s="573">
        <f>'[1]2.ISIAN DATA SKPD'!D11</f>
        <v>2017</v>
      </c>
      <c r="S691" s="457"/>
      <c r="T691" s="457"/>
      <c r="U691" s="458"/>
      <c r="V691" s="27"/>
    </row>
    <row r="692" spans="1:22" s="20" customFormat="1" ht="27.75" customHeight="1">
      <c r="A692" s="18"/>
      <c r="B692" s="581">
        <v>1</v>
      </c>
      <c r="C692" s="582" t="s">
        <v>316</v>
      </c>
      <c r="D692" s="583"/>
      <c r="E692" s="584"/>
      <c r="F692" s="585">
        <v>0</v>
      </c>
      <c r="G692" s="586"/>
      <c r="H692" s="586" t="s">
        <v>317</v>
      </c>
      <c r="I692" s="586"/>
      <c r="J692" s="585">
        <v>0</v>
      </c>
      <c r="K692" s="586" t="s">
        <v>318</v>
      </c>
      <c r="L692" s="586"/>
      <c r="M692" s="586"/>
      <c r="N692" s="585">
        <v>0</v>
      </c>
      <c r="O692" s="586" t="s">
        <v>318</v>
      </c>
      <c r="P692" s="586"/>
      <c r="Q692" s="586"/>
      <c r="R692" s="585">
        <f>F692+J692-N692:N692</f>
        <v>0</v>
      </c>
      <c r="S692" s="586"/>
      <c r="T692" s="586" t="s">
        <v>319</v>
      </c>
      <c r="U692" s="586"/>
      <c r="V692" s="27"/>
    </row>
    <row r="693" spans="1:22" s="20" customFormat="1" ht="16.5" customHeight="1">
      <c r="A693" s="18"/>
      <c r="B693" s="581">
        <v>2</v>
      </c>
      <c r="C693" s="582" t="s">
        <v>320</v>
      </c>
      <c r="D693" s="583"/>
      <c r="E693" s="584"/>
      <c r="F693" s="585">
        <v>0</v>
      </c>
      <c r="G693" s="586"/>
      <c r="H693" s="586" t="s">
        <v>321</v>
      </c>
      <c r="I693" s="586"/>
      <c r="J693" s="585">
        <v>0</v>
      </c>
      <c r="K693" s="586" t="s">
        <v>322</v>
      </c>
      <c r="L693" s="586"/>
      <c r="M693" s="586"/>
      <c r="N693" s="585">
        <v>0</v>
      </c>
      <c r="O693" s="586" t="s">
        <v>322</v>
      </c>
      <c r="P693" s="586"/>
      <c r="Q693" s="586"/>
      <c r="R693" s="585">
        <f t="shared" ref="R693:R699" si="21">F693+J693-N693:N693</f>
        <v>0</v>
      </c>
      <c r="S693" s="586"/>
      <c r="T693" s="586" t="s">
        <v>323</v>
      </c>
      <c r="U693" s="586"/>
      <c r="V693" s="27"/>
    </row>
    <row r="694" spans="1:22" s="20" customFormat="1" ht="14.25" customHeight="1">
      <c r="A694" s="18"/>
      <c r="B694" s="581">
        <v>3</v>
      </c>
      <c r="C694" s="582" t="s">
        <v>324</v>
      </c>
      <c r="D694" s="583"/>
      <c r="E694" s="584"/>
      <c r="F694" s="585">
        <v>0</v>
      </c>
      <c r="G694" s="586"/>
      <c r="H694" s="586" t="s">
        <v>325</v>
      </c>
      <c r="I694" s="586"/>
      <c r="J694" s="585">
        <v>0</v>
      </c>
      <c r="K694" s="586" t="s">
        <v>322</v>
      </c>
      <c r="L694" s="586"/>
      <c r="M694" s="586"/>
      <c r="N694" s="585">
        <v>0</v>
      </c>
      <c r="O694" s="586" t="s">
        <v>322</v>
      </c>
      <c r="P694" s="586"/>
      <c r="Q694" s="586"/>
      <c r="R694" s="585">
        <f t="shared" si="21"/>
        <v>0</v>
      </c>
      <c r="S694" s="586"/>
      <c r="T694" s="586" t="s">
        <v>326</v>
      </c>
      <c r="U694" s="586"/>
      <c r="V694" s="27"/>
    </row>
    <row r="695" spans="1:22" s="20" customFormat="1" ht="15.75" customHeight="1">
      <c r="A695" s="18"/>
      <c r="B695" s="581">
        <v>4</v>
      </c>
      <c r="C695" s="582" t="s">
        <v>327</v>
      </c>
      <c r="D695" s="583"/>
      <c r="E695" s="584"/>
      <c r="F695" s="585">
        <v>0</v>
      </c>
      <c r="G695" s="586"/>
      <c r="H695" s="586" t="s">
        <v>328</v>
      </c>
      <c r="I695" s="586"/>
      <c r="J695" s="585">
        <v>0</v>
      </c>
      <c r="K695" s="586" t="s">
        <v>322</v>
      </c>
      <c r="L695" s="586"/>
      <c r="M695" s="586"/>
      <c r="N695" s="585">
        <v>0</v>
      </c>
      <c r="O695" s="586" t="s">
        <v>322</v>
      </c>
      <c r="P695" s="586"/>
      <c r="Q695" s="586"/>
      <c r="R695" s="585">
        <f t="shared" si="21"/>
        <v>0</v>
      </c>
      <c r="S695" s="586"/>
      <c r="T695" s="586" t="s">
        <v>329</v>
      </c>
      <c r="U695" s="586"/>
      <c r="V695" s="27"/>
    </row>
    <row r="696" spans="1:22" s="20" customFormat="1" ht="27" customHeight="1">
      <c r="A696" s="18"/>
      <c r="B696" s="581">
        <v>5</v>
      </c>
      <c r="C696" s="587" t="s">
        <v>154</v>
      </c>
      <c r="D696" s="588"/>
      <c r="E696" s="589"/>
      <c r="F696" s="585">
        <v>0</v>
      </c>
      <c r="G696" s="586"/>
      <c r="H696" s="586" t="s">
        <v>330</v>
      </c>
      <c r="I696" s="586"/>
      <c r="J696" s="585">
        <v>0</v>
      </c>
      <c r="K696" s="586" t="s">
        <v>322</v>
      </c>
      <c r="L696" s="586"/>
      <c r="M696" s="586"/>
      <c r="N696" s="585">
        <v>0</v>
      </c>
      <c r="O696" s="586" t="s">
        <v>322</v>
      </c>
      <c r="P696" s="586"/>
      <c r="Q696" s="586"/>
      <c r="R696" s="585">
        <f t="shared" si="21"/>
        <v>0</v>
      </c>
      <c r="S696" s="586"/>
      <c r="T696" s="586" t="s">
        <v>331</v>
      </c>
      <c r="U696" s="586"/>
      <c r="V696" s="27"/>
    </row>
    <row r="697" spans="1:22" s="20" customFormat="1" ht="15.75" customHeight="1">
      <c r="A697" s="18"/>
      <c r="B697" s="581">
        <v>6</v>
      </c>
      <c r="C697" s="582" t="s">
        <v>332</v>
      </c>
      <c r="D697" s="583"/>
      <c r="E697" s="584"/>
      <c r="F697" s="585">
        <v>0</v>
      </c>
      <c r="G697" s="586"/>
      <c r="H697" s="586" t="s">
        <v>333</v>
      </c>
      <c r="I697" s="586"/>
      <c r="J697" s="585">
        <v>0</v>
      </c>
      <c r="K697" s="586" t="s">
        <v>322</v>
      </c>
      <c r="L697" s="586"/>
      <c r="M697" s="586"/>
      <c r="N697" s="585">
        <v>0</v>
      </c>
      <c r="O697" s="586" t="s">
        <v>322</v>
      </c>
      <c r="P697" s="586"/>
      <c r="Q697" s="586"/>
      <c r="R697" s="585">
        <f t="shared" si="21"/>
        <v>0</v>
      </c>
      <c r="S697" s="586"/>
      <c r="T697" s="586" t="s">
        <v>334</v>
      </c>
      <c r="U697" s="586"/>
      <c r="V697" s="27"/>
    </row>
    <row r="698" spans="1:22" s="20" customFormat="1" ht="15.75" customHeight="1">
      <c r="A698" s="18"/>
      <c r="B698" s="581">
        <v>7</v>
      </c>
      <c r="C698" s="582" t="s">
        <v>335</v>
      </c>
      <c r="D698" s="583"/>
      <c r="E698" s="584"/>
      <c r="F698" s="585">
        <v>0</v>
      </c>
      <c r="G698" s="586"/>
      <c r="H698" s="586" t="s">
        <v>336</v>
      </c>
      <c r="I698" s="586"/>
      <c r="J698" s="585">
        <v>0</v>
      </c>
      <c r="K698" s="586" t="s">
        <v>322</v>
      </c>
      <c r="L698" s="586"/>
      <c r="M698" s="586"/>
      <c r="N698" s="585">
        <v>0</v>
      </c>
      <c r="O698" s="586" t="s">
        <v>322</v>
      </c>
      <c r="P698" s="586"/>
      <c r="Q698" s="586"/>
      <c r="R698" s="585">
        <f t="shared" si="21"/>
        <v>0</v>
      </c>
      <c r="S698" s="586"/>
      <c r="T698" s="586" t="s">
        <v>337</v>
      </c>
      <c r="U698" s="586"/>
      <c r="V698" s="27"/>
    </row>
    <row r="699" spans="1:22" s="20" customFormat="1" ht="26.25" customHeight="1">
      <c r="A699" s="18"/>
      <c r="B699" s="215" t="s">
        <v>143</v>
      </c>
      <c r="C699" s="216"/>
      <c r="D699" s="216"/>
      <c r="E699" s="217"/>
      <c r="F699" s="456">
        <f>SUM(F692:I698)</f>
        <v>0</v>
      </c>
      <c r="G699" s="482"/>
      <c r="H699" s="482" t="s">
        <v>333</v>
      </c>
      <c r="I699" s="482"/>
      <c r="J699" s="456">
        <f>SUM(J692:M698)</f>
        <v>0</v>
      </c>
      <c r="K699" s="482"/>
      <c r="L699" s="482" t="s">
        <v>333</v>
      </c>
      <c r="M699" s="482"/>
      <c r="N699" s="456">
        <f>SUM(N692:Q698)</f>
        <v>0</v>
      </c>
      <c r="O699" s="482"/>
      <c r="P699" s="482" t="s">
        <v>333</v>
      </c>
      <c r="Q699" s="482"/>
      <c r="R699" s="456">
        <f t="shared" si="21"/>
        <v>0</v>
      </c>
      <c r="S699" s="482"/>
      <c r="T699" s="482" t="s">
        <v>338</v>
      </c>
      <c r="U699" s="482"/>
      <c r="V699" s="27"/>
    </row>
    <row r="700" spans="1:22" s="20" customFormat="1" ht="15.75" customHeight="1">
      <c r="A700" s="18"/>
      <c r="B700" s="590"/>
      <c r="C700" s="590"/>
      <c r="D700" s="590"/>
      <c r="E700" s="590"/>
      <c r="F700" s="591"/>
      <c r="G700" s="591"/>
      <c r="H700" s="591"/>
      <c r="I700" s="591"/>
      <c r="J700" s="591"/>
      <c r="K700" s="591"/>
      <c r="L700" s="591"/>
      <c r="M700" s="591"/>
      <c r="N700" s="591"/>
      <c r="O700" s="591"/>
      <c r="P700" s="591"/>
      <c r="Q700" s="591"/>
      <c r="R700" s="592"/>
      <c r="S700" s="592"/>
      <c r="T700" s="592"/>
      <c r="U700" s="592"/>
      <c r="V700" s="27"/>
    </row>
    <row r="701" spans="1:22" s="20" customFormat="1" ht="15.75" customHeight="1">
      <c r="A701" s="18"/>
      <c r="B701" s="125"/>
      <c r="C701" s="565" t="s">
        <v>7</v>
      </c>
      <c r="D701" s="566" t="s">
        <v>339</v>
      </c>
      <c r="E701" s="566"/>
      <c r="F701" s="566"/>
      <c r="G701" s="566"/>
      <c r="H701" s="566"/>
      <c r="I701" s="566"/>
      <c r="J701" s="566"/>
      <c r="K701" s="566"/>
      <c r="L701" s="566"/>
      <c r="M701" s="566"/>
      <c r="N701" s="566"/>
      <c r="O701" s="566"/>
      <c r="P701" s="566"/>
      <c r="Q701" s="566"/>
      <c r="R701" s="566"/>
      <c r="S701" s="566"/>
      <c r="T701" s="566"/>
      <c r="U701" s="566"/>
      <c r="V701" s="27"/>
    </row>
    <row r="702" spans="1:22" s="20" customFormat="1" ht="86.25" customHeight="1">
      <c r="A702" s="18"/>
      <c r="C702" s="593"/>
      <c r="D702" s="568" t="str">
        <f>"Piutang Retribusi per "&amp;'[1]2.ISIAN DATA SKPD'!D8&amp;" sebesar Rp. "&amp;FIXED(R708)&amp;" adalah hak Pemerintah daerah atas pendapatan retribusi tahun berkenaan, yang sudah diterbitkan Surat Ketetapan namun sampai tanggal  belum dibayar oleh pihak yang menikmati pelayanan,  dengan rincian mutasi sebagai berikut :"</f>
        <v>Piutang Retribusi per 31 Desember 2017 sebesar Rp. 0.00 adalah hak Pemerintah daerah atas pendapatan retribusi tahun berkenaan, yang sudah diterbitkan Surat Ketetapan namun sampai tanggal  belum dibayar oleh pihak yang menikmati pelayanan,  dengan rincian mutasi sebagai berikut :</v>
      </c>
      <c r="E702" s="568"/>
      <c r="F702" s="568"/>
      <c r="G702" s="568"/>
      <c r="H702" s="568"/>
      <c r="I702" s="568"/>
      <c r="J702" s="568"/>
      <c r="K702" s="568"/>
      <c r="L702" s="568"/>
      <c r="M702" s="568"/>
      <c r="N702" s="568"/>
      <c r="O702" s="568"/>
      <c r="P702" s="568"/>
      <c r="Q702" s="568"/>
      <c r="R702" s="568"/>
      <c r="S702" s="568"/>
      <c r="T702" s="568"/>
      <c r="U702" s="568"/>
      <c r="V702" s="27"/>
    </row>
    <row r="703" spans="1:22" s="20" customFormat="1" ht="22.5" customHeight="1">
      <c r="A703" s="18"/>
      <c r="B703" s="569" t="s">
        <v>311</v>
      </c>
      <c r="C703" s="570" t="s">
        <v>270</v>
      </c>
      <c r="D703" s="571"/>
      <c r="E703" s="572"/>
      <c r="F703" s="573" t="s">
        <v>312</v>
      </c>
      <c r="G703" s="457"/>
      <c r="H703" s="457"/>
      <c r="I703" s="458"/>
      <c r="J703" s="574" t="str">
        <f>J690</f>
        <v>MUTASI  TA 2017</v>
      </c>
      <c r="K703" s="575"/>
      <c r="L703" s="575"/>
      <c r="M703" s="575"/>
      <c r="N703" s="575"/>
      <c r="O703" s="575"/>
      <c r="P703" s="575"/>
      <c r="Q703" s="576"/>
      <c r="R703" s="573" t="s">
        <v>313</v>
      </c>
      <c r="S703" s="457"/>
      <c r="T703" s="457"/>
      <c r="U703" s="458"/>
      <c r="V703" s="27"/>
    </row>
    <row r="704" spans="1:22" s="20" customFormat="1" ht="22.5" customHeight="1">
      <c r="A704" s="18"/>
      <c r="B704" s="577"/>
      <c r="C704" s="578"/>
      <c r="D704" s="579"/>
      <c r="E704" s="580"/>
      <c r="F704" s="573">
        <f>F691</f>
        <v>2017</v>
      </c>
      <c r="G704" s="457"/>
      <c r="H704" s="457"/>
      <c r="I704" s="458"/>
      <c r="J704" s="573" t="s">
        <v>314</v>
      </c>
      <c r="K704" s="457"/>
      <c r="L704" s="457"/>
      <c r="M704" s="458"/>
      <c r="N704" s="573" t="s">
        <v>315</v>
      </c>
      <c r="O704" s="457"/>
      <c r="P704" s="457"/>
      <c r="Q704" s="458"/>
      <c r="R704" s="573">
        <f>R691</f>
        <v>2017</v>
      </c>
      <c r="S704" s="457"/>
      <c r="T704" s="457"/>
      <c r="U704" s="458"/>
      <c r="V704" s="27"/>
    </row>
    <row r="705" spans="1:22" s="20" customFormat="1" ht="52.5" customHeight="1">
      <c r="A705" s="18"/>
      <c r="B705" s="594">
        <v>1</v>
      </c>
      <c r="C705" s="595" t="s">
        <v>340</v>
      </c>
      <c r="D705" s="596"/>
      <c r="E705" s="597"/>
      <c r="F705" s="585">
        <v>0</v>
      </c>
      <c r="G705" s="586"/>
      <c r="H705" s="586" t="s">
        <v>317</v>
      </c>
      <c r="I705" s="586"/>
      <c r="J705" s="585">
        <v>0</v>
      </c>
      <c r="K705" s="586" t="s">
        <v>318</v>
      </c>
      <c r="L705" s="586"/>
      <c r="M705" s="586"/>
      <c r="N705" s="585">
        <v>0</v>
      </c>
      <c r="O705" s="586" t="s">
        <v>318</v>
      </c>
      <c r="P705" s="586"/>
      <c r="Q705" s="586"/>
      <c r="R705" s="598">
        <f>F705+J705-N705:N705</f>
        <v>0</v>
      </c>
      <c r="S705" s="598"/>
      <c r="T705" s="598" t="s">
        <v>319</v>
      </c>
      <c r="U705" s="598"/>
      <c r="V705" s="27"/>
    </row>
    <row r="706" spans="1:22" s="20" customFormat="1" ht="23.25" customHeight="1">
      <c r="A706" s="18"/>
      <c r="B706" s="594">
        <v>2</v>
      </c>
      <c r="C706" s="595" t="s">
        <v>341</v>
      </c>
      <c r="D706" s="596"/>
      <c r="E706" s="597"/>
      <c r="F706" s="585">
        <v>0</v>
      </c>
      <c r="G706" s="586"/>
      <c r="H706" s="586" t="s">
        <v>321</v>
      </c>
      <c r="I706" s="586"/>
      <c r="J706" s="585">
        <v>0</v>
      </c>
      <c r="K706" s="586" t="s">
        <v>322</v>
      </c>
      <c r="L706" s="586"/>
      <c r="M706" s="586"/>
      <c r="N706" s="585">
        <v>0</v>
      </c>
      <c r="O706" s="586" t="s">
        <v>322</v>
      </c>
      <c r="P706" s="586"/>
      <c r="Q706" s="586"/>
      <c r="R706" s="598">
        <f>F706+J706-N706:N706</f>
        <v>0</v>
      </c>
      <c r="S706" s="598"/>
      <c r="T706" s="598" t="s">
        <v>323</v>
      </c>
      <c r="U706" s="598"/>
      <c r="V706" s="27"/>
    </row>
    <row r="707" spans="1:22" s="20" customFormat="1" ht="23.25" customHeight="1">
      <c r="A707" s="18"/>
      <c r="B707" s="594">
        <v>3</v>
      </c>
      <c r="C707" s="595" t="s">
        <v>342</v>
      </c>
      <c r="D707" s="596"/>
      <c r="E707" s="597"/>
      <c r="F707" s="585">
        <v>0</v>
      </c>
      <c r="G707" s="586"/>
      <c r="H707" s="586" t="s">
        <v>325</v>
      </c>
      <c r="I707" s="586"/>
      <c r="J707" s="585">
        <v>0</v>
      </c>
      <c r="K707" s="586" t="s">
        <v>322</v>
      </c>
      <c r="L707" s="586"/>
      <c r="M707" s="586"/>
      <c r="N707" s="585">
        <v>0</v>
      </c>
      <c r="O707" s="586" t="s">
        <v>322</v>
      </c>
      <c r="P707" s="586"/>
      <c r="Q707" s="586"/>
      <c r="R707" s="598">
        <f>F707+J707-N707:N707</f>
        <v>0</v>
      </c>
      <c r="S707" s="598"/>
      <c r="T707" s="598" t="s">
        <v>326</v>
      </c>
      <c r="U707" s="598"/>
      <c r="V707" s="27"/>
    </row>
    <row r="708" spans="1:22" s="20" customFormat="1" ht="34.5" customHeight="1">
      <c r="A708" s="18"/>
      <c r="B708" s="215" t="s">
        <v>143</v>
      </c>
      <c r="C708" s="216"/>
      <c r="D708" s="216"/>
      <c r="E708" s="217"/>
      <c r="F708" s="456">
        <f>SUM(F705:I707)</f>
        <v>0</v>
      </c>
      <c r="G708" s="482"/>
      <c r="H708" s="482" t="s">
        <v>333</v>
      </c>
      <c r="I708" s="482"/>
      <c r="J708" s="456">
        <f>SUM(J705:M707)</f>
        <v>0</v>
      </c>
      <c r="K708" s="482"/>
      <c r="L708" s="482" t="s">
        <v>336</v>
      </c>
      <c r="M708" s="482"/>
      <c r="N708" s="456">
        <f>SUM(N705:Q707)</f>
        <v>0</v>
      </c>
      <c r="O708" s="482"/>
      <c r="P708" s="482" t="s">
        <v>343</v>
      </c>
      <c r="Q708" s="482"/>
      <c r="R708" s="553">
        <f>SUM(R705:U707)</f>
        <v>0</v>
      </c>
      <c r="S708" s="553"/>
      <c r="T708" s="553" t="s">
        <v>344</v>
      </c>
      <c r="U708" s="553"/>
      <c r="V708" s="27"/>
    </row>
    <row r="709" spans="1:22" s="20" customFormat="1" ht="18" customHeight="1">
      <c r="A709" s="18"/>
      <c r="B709" s="599"/>
      <c r="C709" s="600"/>
      <c r="D709" s="600"/>
      <c r="E709" s="600"/>
      <c r="F709" s="601"/>
      <c r="G709" s="601"/>
      <c r="H709" s="601"/>
      <c r="I709" s="601"/>
      <c r="J709" s="601"/>
      <c r="K709" s="601"/>
      <c r="L709" s="601"/>
      <c r="M709" s="601"/>
      <c r="N709" s="601"/>
      <c r="O709" s="601"/>
      <c r="P709" s="601"/>
      <c r="Q709" s="601"/>
      <c r="R709" s="601"/>
      <c r="S709" s="601"/>
      <c r="T709" s="601"/>
      <c r="U709" s="601"/>
      <c r="V709" s="27"/>
    </row>
    <row r="710" spans="1:22" s="20" customFormat="1" ht="31.5" customHeight="1">
      <c r="A710" s="18"/>
      <c r="B710" s="599"/>
      <c r="C710" s="602" t="s">
        <v>165</v>
      </c>
      <c r="D710" s="603" t="s">
        <v>345</v>
      </c>
      <c r="E710" s="603"/>
      <c r="F710" s="603"/>
      <c r="G710" s="603"/>
      <c r="H710" s="603"/>
      <c r="I710" s="603"/>
      <c r="J710" s="603"/>
      <c r="K710" s="603"/>
      <c r="L710" s="603"/>
      <c r="M710" s="603"/>
      <c r="N710" s="603"/>
      <c r="O710" s="603"/>
      <c r="P710" s="603"/>
      <c r="Q710" s="603"/>
      <c r="R710" s="603"/>
      <c r="S710" s="603"/>
      <c r="T710" s="603"/>
      <c r="U710" s="603"/>
      <c r="V710" s="27"/>
    </row>
    <row r="711" spans="1:22" s="20" customFormat="1" ht="10.5" customHeight="1">
      <c r="A711" s="18"/>
      <c r="B711" s="599"/>
      <c r="C711" s="600"/>
      <c r="D711" s="600"/>
      <c r="E711" s="600"/>
      <c r="F711" s="601"/>
      <c r="G711" s="601"/>
      <c r="H711" s="601"/>
      <c r="I711" s="601"/>
      <c r="J711" s="601"/>
      <c r="K711" s="601"/>
      <c r="L711" s="601"/>
      <c r="M711" s="601"/>
      <c r="N711" s="601"/>
      <c r="O711" s="601"/>
      <c r="P711" s="601"/>
      <c r="Q711" s="601"/>
      <c r="R711" s="601"/>
      <c r="S711" s="601"/>
      <c r="T711" s="601"/>
      <c r="U711" s="601"/>
      <c r="V711" s="27"/>
    </row>
    <row r="712" spans="1:22" s="20" customFormat="1" ht="22.5" customHeight="1">
      <c r="A712" s="18"/>
      <c r="B712" s="125"/>
      <c r="C712" s="565" t="s">
        <v>262</v>
      </c>
      <c r="D712" s="566" t="s">
        <v>346</v>
      </c>
      <c r="E712" s="566"/>
      <c r="F712" s="566"/>
      <c r="G712" s="566"/>
      <c r="H712" s="566"/>
      <c r="I712" s="566"/>
      <c r="J712" s="566"/>
      <c r="K712" s="566"/>
      <c r="L712" s="566"/>
      <c r="M712" s="566"/>
      <c r="N712" s="566"/>
      <c r="O712" s="566"/>
      <c r="P712" s="566"/>
      <c r="Q712" s="566"/>
      <c r="R712" s="566"/>
      <c r="S712" s="566"/>
      <c r="T712" s="566"/>
      <c r="U712" s="566"/>
      <c r="V712" s="27"/>
    </row>
    <row r="713" spans="1:22" s="20" customFormat="1" ht="78" customHeight="1">
      <c r="A713" s="18"/>
      <c r="C713" s="567"/>
      <c r="D713" s="313" t="str">
        <f>"Piutang Lain-lain PAD Yang Sah per "&amp;'[1]2.ISIAN DATA SKPD'!D8&amp;" sebesar Rp. "&amp;FIXED(R719)&amp;" adalah hak Pemerintah daerah dalam hal ini BLUD Puskesmas selain pajak dan retribusi  namun sampai tanggal tersebut belum dibayar oleh pihak yang menikmati pelayanan,  dengan rincian mutasi sebagai berikut :"</f>
        <v>Piutang Lain-lain PAD Yang Sah per 31 Desember 2017 sebesar Rp. 0.00 adalah hak Pemerintah daerah dalam hal ini BLUD Puskesmas selain pajak dan retribusi  namun sampai tanggal tersebut belum dibayar oleh pihak yang menikmati pelayanan,  dengan rincian mutasi sebagai berikut :</v>
      </c>
      <c r="E713" s="313"/>
      <c r="F713" s="313"/>
      <c r="G713" s="313"/>
      <c r="H713" s="313"/>
      <c r="I713" s="313"/>
      <c r="J713" s="313"/>
      <c r="K713" s="313"/>
      <c r="L713" s="313"/>
      <c r="M713" s="313"/>
      <c r="N713" s="313"/>
      <c r="O713" s="313"/>
      <c r="P713" s="313"/>
      <c r="Q713" s="313"/>
      <c r="R713" s="313"/>
      <c r="S713" s="313"/>
      <c r="T713" s="313"/>
      <c r="U713" s="313"/>
      <c r="V713" s="27"/>
    </row>
    <row r="714" spans="1:22" s="20" customFormat="1" ht="22.5" customHeight="1">
      <c r="A714" s="18"/>
      <c r="C714" s="567"/>
      <c r="D714" s="285"/>
      <c r="E714" s="285"/>
      <c r="F714" s="285"/>
      <c r="G714" s="285"/>
      <c r="H714" s="285"/>
      <c r="I714" s="285"/>
      <c r="J714" s="285"/>
      <c r="K714" s="285"/>
      <c r="L714" s="285"/>
      <c r="M714" s="285"/>
      <c r="N714" s="285"/>
      <c r="O714" s="285"/>
      <c r="P714" s="285"/>
      <c r="Q714" s="285"/>
      <c r="R714" s="285"/>
      <c r="S714" s="285"/>
      <c r="T714" s="285"/>
      <c r="U714" s="285"/>
      <c r="V714" s="27"/>
    </row>
    <row r="715" spans="1:22" s="20" customFormat="1" ht="22.5" customHeight="1">
      <c r="A715" s="18"/>
      <c r="B715" s="569" t="s">
        <v>311</v>
      </c>
      <c r="C715" s="570" t="s">
        <v>270</v>
      </c>
      <c r="D715" s="571"/>
      <c r="E715" s="572"/>
      <c r="F715" s="573" t="s">
        <v>312</v>
      </c>
      <c r="G715" s="457"/>
      <c r="H715" s="457"/>
      <c r="I715" s="458"/>
      <c r="J715" s="574" t="str">
        <f>J703</f>
        <v>MUTASI  TA 2017</v>
      </c>
      <c r="K715" s="575"/>
      <c r="L715" s="575"/>
      <c r="M715" s="575"/>
      <c r="N715" s="575"/>
      <c r="O715" s="575"/>
      <c r="P715" s="575"/>
      <c r="Q715" s="576"/>
      <c r="R715" s="573" t="s">
        <v>313</v>
      </c>
      <c r="S715" s="457"/>
      <c r="T715" s="457"/>
      <c r="U715" s="458"/>
      <c r="V715" s="27"/>
    </row>
    <row r="716" spans="1:22" s="20" customFormat="1" ht="22.5" customHeight="1">
      <c r="A716" s="18"/>
      <c r="B716" s="577"/>
      <c r="C716" s="578"/>
      <c r="D716" s="579"/>
      <c r="E716" s="580"/>
      <c r="F716" s="574">
        <f>F704</f>
        <v>2017</v>
      </c>
      <c r="G716" s="457"/>
      <c r="H716" s="457"/>
      <c r="I716" s="458"/>
      <c r="J716" s="573" t="s">
        <v>314</v>
      </c>
      <c r="K716" s="457"/>
      <c r="L716" s="457"/>
      <c r="M716" s="458"/>
      <c r="N716" s="573" t="s">
        <v>315</v>
      </c>
      <c r="O716" s="457"/>
      <c r="P716" s="457"/>
      <c r="Q716" s="458"/>
      <c r="R716" s="573">
        <f>R704</f>
        <v>2017</v>
      </c>
      <c r="S716" s="457"/>
      <c r="T716" s="457"/>
      <c r="U716" s="458"/>
      <c r="V716" s="27"/>
    </row>
    <row r="717" spans="1:22" s="20" customFormat="1" ht="25.5" customHeight="1">
      <c r="A717" s="18"/>
      <c r="B717" s="581">
        <v>1</v>
      </c>
      <c r="C717" s="587" t="s">
        <v>347</v>
      </c>
      <c r="D717" s="588"/>
      <c r="E717" s="589"/>
      <c r="F717" s="585">
        <v>0</v>
      </c>
      <c r="G717" s="586"/>
      <c r="H717" s="586" t="s">
        <v>317</v>
      </c>
      <c r="I717" s="586"/>
      <c r="J717" s="585">
        <v>0</v>
      </c>
      <c r="K717" s="586" t="s">
        <v>318</v>
      </c>
      <c r="L717" s="586"/>
      <c r="M717" s="586"/>
      <c r="N717" s="585">
        <v>0</v>
      </c>
      <c r="O717" s="586" t="s">
        <v>318</v>
      </c>
      <c r="P717" s="586"/>
      <c r="Q717" s="586"/>
      <c r="R717" s="585">
        <f>F717+J717-N717:N717</f>
        <v>0</v>
      </c>
      <c r="S717" s="586"/>
      <c r="T717" s="586" t="s">
        <v>319</v>
      </c>
      <c r="U717" s="604"/>
      <c r="V717" s="27"/>
    </row>
    <row r="718" spans="1:22" s="20" customFormat="1" ht="15" customHeight="1">
      <c r="A718" s="18"/>
      <c r="B718" s="581">
        <v>2</v>
      </c>
      <c r="C718" s="587" t="s">
        <v>348</v>
      </c>
      <c r="D718" s="588"/>
      <c r="E718" s="589"/>
      <c r="F718" s="585">
        <v>0</v>
      </c>
      <c r="G718" s="586"/>
      <c r="H718" s="586" t="s">
        <v>321</v>
      </c>
      <c r="I718" s="586"/>
      <c r="J718" s="585">
        <v>0</v>
      </c>
      <c r="K718" s="586" t="s">
        <v>322</v>
      </c>
      <c r="L718" s="586"/>
      <c r="M718" s="586"/>
      <c r="N718" s="585">
        <v>0</v>
      </c>
      <c r="O718" s="586" t="s">
        <v>322</v>
      </c>
      <c r="P718" s="586"/>
      <c r="Q718" s="586"/>
      <c r="R718" s="585">
        <f>F718+J718-N718:N718</f>
        <v>0</v>
      </c>
      <c r="S718" s="586"/>
      <c r="T718" s="586" t="s">
        <v>323</v>
      </c>
      <c r="U718" s="604"/>
      <c r="V718" s="27"/>
    </row>
    <row r="719" spans="1:22" s="20" customFormat="1" ht="25.5" customHeight="1">
      <c r="A719" s="18"/>
      <c r="B719" s="605"/>
      <c r="C719" s="582" t="s">
        <v>143</v>
      </c>
      <c r="D719" s="583"/>
      <c r="E719" s="584"/>
      <c r="F719" s="456">
        <f>SUM(F717:I718)</f>
        <v>0</v>
      </c>
      <c r="G719" s="482"/>
      <c r="H719" s="482" t="s">
        <v>333</v>
      </c>
      <c r="I719" s="482"/>
      <c r="J719" s="456">
        <f>SUM(J717:M718)</f>
        <v>0</v>
      </c>
      <c r="K719" s="482"/>
      <c r="L719" s="482" t="s">
        <v>336</v>
      </c>
      <c r="M719" s="482"/>
      <c r="N719" s="456">
        <f>SUM(N717:Q718)</f>
        <v>0</v>
      </c>
      <c r="O719" s="482"/>
      <c r="P719" s="482" t="s">
        <v>343</v>
      </c>
      <c r="Q719" s="482"/>
      <c r="R719" s="456">
        <f>SUM(R717:U718)</f>
        <v>0</v>
      </c>
      <c r="S719" s="482"/>
      <c r="T719" s="482" t="s">
        <v>344</v>
      </c>
      <c r="U719" s="606"/>
      <c r="V719" s="27"/>
    </row>
    <row r="720" spans="1:22" s="20" customFormat="1" ht="26.25" customHeight="1">
      <c r="A720" s="18"/>
      <c r="B720" s="599"/>
      <c r="C720" s="600"/>
      <c r="D720" s="600"/>
      <c r="E720" s="600"/>
      <c r="F720" s="601"/>
      <c r="G720" s="601"/>
      <c r="H720" s="601"/>
      <c r="I720" s="601"/>
      <c r="J720" s="601"/>
      <c r="K720" s="601"/>
      <c r="L720" s="601"/>
      <c r="M720" s="601"/>
      <c r="N720" s="601"/>
      <c r="O720" s="601"/>
      <c r="P720" s="601"/>
      <c r="Q720" s="601"/>
      <c r="R720" s="601"/>
      <c r="S720" s="601"/>
      <c r="T720" s="601"/>
      <c r="U720" s="601"/>
      <c r="V720" s="27"/>
    </row>
    <row r="721" spans="1:40" s="20" customFormat="1" ht="63.75" customHeight="1">
      <c r="A721" s="18"/>
      <c r="B721" s="599"/>
      <c r="C721" s="600"/>
      <c r="D721" s="313" t="s">
        <v>349</v>
      </c>
      <c r="E721" s="313"/>
      <c r="F721" s="313"/>
      <c r="G721" s="313"/>
      <c r="H721" s="313"/>
      <c r="I721" s="313"/>
      <c r="J721" s="313"/>
      <c r="K721" s="313"/>
      <c r="L721" s="313"/>
      <c r="M721" s="313"/>
      <c r="N721" s="313"/>
      <c r="O721" s="313"/>
      <c r="P721" s="313"/>
      <c r="Q721" s="313"/>
      <c r="R721" s="313"/>
      <c r="S721" s="313"/>
      <c r="T721" s="313"/>
      <c r="U721" s="313"/>
      <c r="V721" s="607"/>
      <c r="W721" s="607"/>
      <c r="X721" s="607"/>
      <c r="Y721" s="607"/>
      <c r="Z721" s="607"/>
      <c r="AA721" s="607"/>
      <c r="AB721" s="607"/>
      <c r="AC721" s="607"/>
      <c r="AD721" s="607"/>
      <c r="AE721" s="607"/>
      <c r="AF721" s="607"/>
    </row>
    <row r="722" spans="1:40" s="20" customFormat="1" ht="18.75" customHeight="1">
      <c r="A722" s="18"/>
      <c r="B722" s="599"/>
      <c r="C722" s="600"/>
      <c r="D722" s="608" t="s">
        <v>350</v>
      </c>
      <c r="E722" s="129" t="str">
        <f>"Mutasi debet sebesar Rp. "&amp;FIXED(J719)&amp;" ."</f>
        <v>Mutasi debet sebesar Rp. 0.00 .</v>
      </c>
      <c r="F722" s="129"/>
      <c r="G722" s="129"/>
      <c r="H722" s="129"/>
      <c r="I722" s="129"/>
      <c r="J722" s="129"/>
      <c r="K722" s="129"/>
      <c r="L722" s="129"/>
      <c r="M722" s="129"/>
      <c r="N722" s="129"/>
      <c r="O722" s="129"/>
      <c r="P722" s="129"/>
      <c r="Q722" s="129"/>
      <c r="R722" s="129"/>
      <c r="S722" s="129"/>
      <c r="T722" s="129"/>
      <c r="U722" s="129"/>
      <c r="V722" s="567"/>
      <c r="W722" s="607"/>
      <c r="X722" s="607"/>
      <c r="Y722" s="607"/>
      <c r="Z722" s="607"/>
      <c r="AA722" s="607"/>
      <c r="AB722" s="607"/>
      <c r="AC722" s="607"/>
      <c r="AD722" s="607"/>
      <c r="AE722" s="607"/>
      <c r="AF722" s="607"/>
    </row>
    <row r="723" spans="1:40" s="20" customFormat="1" ht="18.75" customHeight="1">
      <c r="A723" s="18"/>
      <c r="B723" s="599"/>
      <c r="C723" s="600"/>
      <c r="D723" s="609" t="s">
        <v>351</v>
      </c>
      <c r="E723" s="129" t="str">
        <f>"Mutasi kredit sebesar Rp. "&amp;FIXED(N719)&amp;" ."</f>
        <v>Mutasi kredit sebesar Rp. 0.00 .</v>
      </c>
      <c r="F723" s="129"/>
      <c r="G723" s="129"/>
      <c r="H723" s="129"/>
      <c r="I723" s="129"/>
      <c r="J723" s="129"/>
      <c r="K723" s="129"/>
      <c r="L723" s="129"/>
      <c r="M723" s="129"/>
      <c r="N723" s="129"/>
      <c r="O723" s="129"/>
      <c r="P723" s="129"/>
      <c r="Q723" s="129"/>
      <c r="R723" s="129"/>
      <c r="S723" s="129"/>
      <c r="T723" s="129"/>
      <c r="U723" s="129"/>
      <c r="V723" s="27"/>
    </row>
    <row r="724" spans="1:40" s="20" customFormat="1" ht="27.75" customHeight="1">
      <c r="A724" s="18"/>
      <c r="B724" s="599"/>
      <c r="C724" s="610" t="s">
        <v>114</v>
      </c>
      <c r="D724" s="566" t="s">
        <v>352</v>
      </c>
      <c r="E724" s="566"/>
      <c r="F724" s="566"/>
      <c r="G724" s="566"/>
      <c r="H724" s="566"/>
      <c r="I724" s="566"/>
      <c r="J724" s="566"/>
      <c r="K724" s="566"/>
      <c r="L724" s="566"/>
      <c r="M724" s="566"/>
      <c r="N724" s="566"/>
      <c r="O724" s="566"/>
      <c r="P724" s="566"/>
      <c r="Q724" s="566"/>
      <c r="R724" s="566"/>
      <c r="S724" s="566"/>
      <c r="T724" s="566"/>
      <c r="U724" s="566"/>
      <c r="V724" s="92"/>
      <c r="W724" s="611"/>
      <c r="X724" s="611"/>
      <c r="Y724" s="612"/>
      <c r="Z724" s="612"/>
      <c r="AA724" s="612"/>
      <c r="AB724" s="612"/>
      <c r="AC724" s="612"/>
      <c r="AD724" s="612"/>
      <c r="AE724" s="612"/>
      <c r="AF724" s="612"/>
      <c r="AJ724" s="607"/>
      <c r="AK724" s="607"/>
      <c r="AL724" s="607"/>
      <c r="AM724" s="607"/>
    </row>
    <row r="725" spans="1:40" s="20" customFormat="1" ht="31.5" customHeight="1">
      <c r="A725" s="18"/>
      <c r="B725" s="125"/>
      <c r="D725" s="313" t="str">
        <f>"Piutang Lainnya  per "&amp;'[1]2.ISIAN DATA SKPD'!D8&amp;" sebesar Rp. "&amp;FIXED(R731)&amp;"  dengan mutasi sebagai berikut :"</f>
        <v>Piutang Lainnya  per 31 Desember 2017 sebesar Rp. 0.00  dengan mutasi sebagai berikut :</v>
      </c>
      <c r="E725" s="313"/>
      <c r="F725" s="313"/>
      <c r="G725" s="313"/>
      <c r="H725" s="313"/>
      <c r="I725" s="313"/>
      <c r="J725" s="313"/>
      <c r="K725" s="313"/>
      <c r="L725" s="313"/>
      <c r="M725" s="313"/>
      <c r="N725" s="313"/>
      <c r="O725" s="313"/>
      <c r="P725" s="313"/>
      <c r="Q725" s="313"/>
      <c r="R725" s="313"/>
      <c r="S725" s="313"/>
      <c r="T725" s="313"/>
      <c r="U725" s="313"/>
      <c r="V725" s="92"/>
      <c r="W725" s="613"/>
      <c r="X725" s="613"/>
      <c r="Y725" s="613"/>
      <c r="Z725" s="613"/>
      <c r="AA725" s="613"/>
      <c r="AB725" s="613"/>
      <c r="AC725" s="613"/>
      <c r="AD725" s="613"/>
      <c r="AE725" s="613"/>
      <c r="AF725" s="613"/>
      <c r="AG725" s="607"/>
      <c r="AH725" s="607"/>
      <c r="AI725" s="607"/>
      <c r="AJ725" s="607"/>
      <c r="AK725" s="607"/>
      <c r="AL725" s="607"/>
      <c r="AM725" s="607"/>
    </row>
    <row r="726" spans="1:40" s="20" customFormat="1" ht="15.75" customHeight="1">
      <c r="A726" s="18"/>
      <c r="B726" s="125"/>
      <c r="D726" s="285"/>
      <c r="E726" s="285"/>
      <c r="F726" s="285"/>
      <c r="G726" s="285"/>
      <c r="H726" s="285"/>
      <c r="I726" s="285"/>
      <c r="J726" s="285"/>
      <c r="K726" s="285"/>
      <c r="L726" s="285"/>
      <c r="M726" s="285"/>
      <c r="N726" s="285"/>
      <c r="O726" s="285"/>
      <c r="P726" s="285"/>
      <c r="Q726" s="285"/>
      <c r="R726" s="285"/>
      <c r="S726" s="285"/>
      <c r="T726" s="285"/>
      <c r="U726" s="285"/>
      <c r="V726" s="92"/>
      <c r="W726" s="613"/>
      <c r="X726" s="613"/>
      <c r="Y726" s="613"/>
      <c r="Z726" s="613"/>
      <c r="AA726" s="613"/>
      <c r="AB726" s="613"/>
      <c r="AC726" s="613"/>
      <c r="AD726" s="613"/>
      <c r="AE726" s="613"/>
      <c r="AF726" s="613"/>
      <c r="AG726" s="607"/>
      <c r="AH726" s="607"/>
      <c r="AI726" s="607"/>
    </row>
    <row r="727" spans="1:40" s="20" customFormat="1" ht="18.75" customHeight="1">
      <c r="A727" s="18"/>
      <c r="B727" s="569" t="s">
        <v>311</v>
      </c>
      <c r="C727" s="570" t="s">
        <v>270</v>
      </c>
      <c r="D727" s="571"/>
      <c r="E727" s="572"/>
      <c r="F727" s="573" t="s">
        <v>312</v>
      </c>
      <c r="G727" s="457"/>
      <c r="H727" s="457"/>
      <c r="I727" s="458"/>
      <c r="J727" s="574" t="str">
        <f>J690</f>
        <v>MUTASI  TA 2017</v>
      </c>
      <c r="K727" s="575"/>
      <c r="L727" s="575"/>
      <c r="M727" s="575"/>
      <c r="N727" s="575"/>
      <c r="O727" s="575"/>
      <c r="P727" s="575"/>
      <c r="Q727" s="576"/>
      <c r="R727" s="573" t="s">
        <v>313</v>
      </c>
      <c r="S727" s="457"/>
      <c r="T727" s="457"/>
      <c r="U727" s="458"/>
      <c r="V727" s="92"/>
      <c r="W727" s="614"/>
      <c r="X727" s="614"/>
      <c r="Y727" s="614"/>
      <c r="Z727" s="614"/>
      <c r="AA727" s="614"/>
      <c r="AB727" s="614"/>
      <c r="AC727" s="614"/>
      <c r="AD727" s="614"/>
      <c r="AE727" s="614"/>
      <c r="AF727" s="614"/>
      <c r="AJ727" s="615"/>
      <c r="AK727" s="615"/>
      <c r="AL727" s="615"/>
      <c r="AM727" s="615"/>
      <c r="AN727" s="615"/>
    </row>
    <row r="728" spans="1:40" s="20" customFormat="1" ht="24" customHeight="1">
      <c r="A728" s="616"/>
      <c r="B728" s="577"/>
      <c r="C728" s="578"/>
      <c r="D728" s="579"/>
      <c r="E728" s="580"/>
      <c r="F728" s="573">
        <f>F704</f>
        <v>2017</v>
      </c>
      <c r="G728" s="457"/>
      <c r="H728" s="457"/>
      <c r="I728" s="458"/>
      <c r="J728" s="573" t="s">
        <v>314</v>
      </c>
      <c r="K728" s="457"/>
      <c r="L728" s="457"/>
      <c r="M728" s="458"/>
      <c r="N728" s="573" t="s">
        <v>315</v>
      </c>
      <c r="O728" s="457"/>
      <c r="P728" s="457"/>
      <c r="Q728" s="458"/>
      <c r="R728" s="573">
        <f>R716</f>
        <v>2017</v>
      </c>
      <c r="S728" s="457"/>
      <c r="T728" s="457"/>
      <c r="U728" s="458"/>
      <c r="V728" s="27"/>
      <c r="AG728" s="612"/>
      <c r="AH728" s="612"/>
      <c r="AI728" s="615"/>
      <c r="AJ728" s="617"/>
      <c r="AK728" s="617"/>
      <c r="AL728" s="617"/>
      <c r="AM728" s="617"/>
      <c r="AN728" s="617"/>
    </row>
    <row r="729" spans="1:40" s="20" customFormat="1" ht="33.75" customHeight="1">
      <c r="A729" s="616"/>
      <c r="B729" s="581">
        <v>1</v>
      </c>
      <c r="C729" s="587" t="s">
        <v>353</v>
      </c>
      <c r="D729" s="588"/>
      <c r="E729" s="589"/>
      <c r="F729" s="476">
        <v>0</v>
      </c>
      <c r="G729" s="477"/>
      <c r="H729" s="477" t="s">
        <v>317</v>
      </c>
      <c r="I729" s="477"/>
      <c r="J729" s="476">
        <v>0</v>
      </c>
      <c r="K729" s="477" t="s">
        <v>318</v>
      </c>
      <c r="L729" s="477"/>
      <c r="M729" s="477"/>
      <c r="N729" s="476">
        <v>0</v>
      </c>
      <c r="O729" s="477" t="s">
        <v>318</v>
      </c>
      <c r="P729" s="477"/>
      <c r="Q729" s="477"/>
      <c r="R729" s="476">
        <f>F729+J729-N729:N729</f>
        <v>0</v>
      </c>
      <c r="S729" s="477"/>
      <c r="T729" s="477" t="s">
        <v>319</v>
      </c>
      <c r="U729" s="478"/>
      <c r="V729" s="27"/>
      <c r="AG729" s="613"/>
      <c r="AH729" s="613"/>
      <c r="AI729" s="617"/>
      <c r="AJ729" s="617"/>
      <c r="AK729" s="617"/>
      <c r="AL729" s="617"/>
      <c r="AM729" s="617"/>
      <c r="AN729" s="617"/>
    </row>
    <row r="730" spans="1:40" s="20" customFormat="1" ht="25.5" customHeight="1">
      <c r="A730" s="616"/>
      <c r="B730" s="581">
        <v>2</v>
      </c>
      <c r="C730" s="587" t="s">
        <v>348</v>
      </c>
      <c r="D730" s="588"/>
      <c r="E730" s="589"/>
      <c r="F730" s="476">
        <v>0</v>
      </c>
      <c r="G730" s="477"/>
      <c r="H730" s="477" t="s">
        <v>321</v>
      </c>
      <c r="I730" s="477"/>
      <c r="J730" s="476">
        <v>0</v>
      </c>
      <c r="K730" s="477" t="s">
        <v>322</v>
      </c>
      <c r="L730" s="477"/>
      <c r="M730" s="477"/>
      <c r="N730" s="476">
        <v>0</v>
      </c>
      <c r="O730" s="477" t="s">
        <v>322</v>
      </c>
      <c r="P730" s="477"/>
      <c r="Q730" s="477"/>
      <c r="R730" s="476">
        <f>F730+J730-N730:N730</f>
        <v>0</v>
      </c>
      <c r="S730" s="477"/>
      <c r="T730" s="477" t="s">
        <v>323</v>
      </c>
      <c r="U730" s="478"/>
      <c r="V730" s="27"/>
      <c r="AG730" s="613"/>
      <c r="AH730" s="613"/>
      <c r="AI730" s="617"/>
      <c r="AJ730" s="614"/>
      <c r="AK730" s="614"/>
      <c r="AL730" s="614"/>
      <c r="AM730" s="614"/>
      <c r="AN730" s="614"/>
    </row>
    <row r="731" spans="1:40" s="20" customFormat="1" ht="22.5" customHeight="1">
      <c r="A731" s="18"/>
      <c r="B731" s="605"/>
      <c r="C731" s="618" t="s">
        <v>143</v>
      </c>
      <c r="D731" s="619"/>
      <c r="E731" s="620"/>
      <c r="F731" s="456">
        <f>SUM(F729:I730)</f>
        <v>0</v>
      </c>
      <c r="G731" s="482"/>
      <c r="H731" s="482" t="s">
        <v>333</v>
      </c>
      <c r="I731" s="482"/>
      <c r="J731" s="456">
        <f>SUM(J729:M730)</f>
        <v>0</v>
      </c>
      <c r="K731" s="482"/>
      <c r="L731" s="482" t="s">
        <v>336</v>
      </c>
      <c r="M731" s="482"/>
      <c r="N731" s="456">
        <f>SUM(N729:Q730)</f>
        <v>0</v>
      </c>
      <c r="O731" s="482"/>
      <c r="P731" s="482" t="s">
        <v>343</v>
      </c>
      <c r="Q731" s="482"/>
      <c r="R731" s="456">
        <f>SUM(R729:U730)</f>
        <v>0</v>
      </c>
      <c r="S731" s="482"/>
      <c r="T731" s="482" t="s">
        <v>344</v>
      </c>
      <c r="U731" s="606"/>
      <c r="V731" s="27"/>
      <c r="AG731" s="614"/>
      <c r="AH731" s="614"/>
      <c r="AI731" s="614"/>
    </row>
    <row r="732" spans="1:40" s="20" customFormat="1" ht="22.5" customHeight="1">
      <c r="A732" s="18"/>
      <c r="B732" s="125"/>
      <c r="C732" s="125"/>
      <c r="D732" s="125"/>
      <c r="E732" s="125"/>
      <c r="F732" s="125"/>
      <c r="G732" s="125"/>
      <c r="H732" s="125"/>
      <c r="I732" s="125"/>
      <c r="J732" s="125"/>
      <c r="K732" s="125"/>
      <c r="L732" s="483"/>
      <c r="M732" s="483"/>
      <c r="N732" s="483"/>
      <c r="O732" s="483"/>
      <c r="P732" s="483"/>
      <c r="Q732" s="483"/>
      <c r="R732" s="483"/>
      <c r="S732" s="483"/>
      <c r="T732" s="483"/>
      <c r="U732" s="483"/>
      <c r="V732" s="27"/>
    </row>
    <row r="733" spans="1:40" s="20" customFormat="1" ht="26.25" customHeight="1">
      <c r="A733" s="18"/>
      <c r="B733" s="12"/>
      <c r="C733" s="491" t="s">
        <v>354</v>
      </c>
      <c r="D733" s="491"/>
      <c r="E733" s="491"/>
      <c r="F733" s="491"/>
      <c r="G733" s="491"/>
      <c r="H733" s="491"/>
      <c r="I733" s="491"/>
      <c r="J733" s="491"/>
      <c r="K733" s="491"/>
      <c r="L733" s="491"/>
      <c r="M733" s="491"/>
      <c r="N733" s="491"/>
      <c r="O733" s="491"/>
      <c r="P733" s="491"/>
      <c r="Q733" s="491"/>
      <c r="R733" s="491"/>
      <c r="S733" s="491"/>
      <c r="T733" s="491"/>
      <c r="U733" s="491"/>
      <c r="V733" s="27"/>
    </row>
    <row r="734" spans="1:40" s="20" customFormat="1" ht="106.5" customHeight="1">
      <c r="A734" s="18"/>
      <c r="D734" s="313" t="s">
        <v>355</v>
      </c>
      <c r="E734" s="313"/>
      <c r="F734" s="313"/>
      <c r="G734" s="313"/>
      <c r="H734" s="313"/>
      <c r="I734" s="313"/>
      <c r="J734" s="313"/>
      <c r="K734" s="313"/>
      <c r="L734" s="313"/>
      <c r="M734" s="313"/>
      <c r="N734" s="313"/>
      <c r="O734" s="313"/>
      <c r="P734" s="313"/>
      <c r="Q734" s="313"/>
      <c r="R734" s="313"/>
      <c r="S734" s="313"/>
      <c r="T734" s="313"/>
      <c r="U734" s="313"/>
      <c r="V734" s="27"/>
    </row>
    <row r="735" spans="1:40" s="20" customFormat="1" ht="20.25" customHeight="1">
      <c r="A735" s="18"/>
      <c r="D735" s="285"/>
      <c r="E735" s="285"/>
      <c r="F735" s="285"/>
      <c r="G735" s="285"/>
      <c r="H735" s="285"/>
      <c r="I735" s="285"/>
      <c r="J735" s="285"/>
      <c r="K735" s="285"/>
      <c r="L735" s="285"/>
      <c r="M735" s="285"/>
      <c r="N735" s="285"/>
      <c r="O735" s="285"/>
      <c r="P735" s="285"/>
      <c r="Q735" s="285"/>
      <c r="R735" s="285"/>
      <c r="S735" s="285"/>
      <c r="T735" s="285"/>
      <c r="U735" s="285"/>
      <c r="V735" s="27"/>
    </row>
    <row r="736" spans="1:40" s="20" customFormat="1" ht="22.5" customHeight="1">
      <c r="A736" s="18"/>
      <c r="B736" s="98" t="s">
        <v>356</v>
      </c>
      <c r="C736" s="98"/>
      <c r="D736" s="98"/>
      <c r="E736" s="98"/>
      <c r="F736" s="98"/>
      <c r="G736" s="98"/>
      <c r="H736" s="98"/>
      <c r="I736" s="98"/>
      <c r="J736" s="98"/>
      <c r="K736" s="98"/>
      <c r="L736" s="98"/>
      <c r="M736" s="98"/>
      <c r="N736" s="98"/>
      <c r="O736" s="98"/>
      <c r="P736" s="98"/>
      <c r="Q736" s="98"/>
      <c r="R736" s="98"/>
      <c r="S736" s="98"/>
      <c r="T736" s="98"/>
      <c r="U736" s="98"/>
      <c r="V736" s="27"/>
    </row>
    <row r="737" spans="1:22" s="20" customFormat="1" ht="39.75" customHeight="1">
      <c r="A737" s="18"/>
      <c r="B737" s="520" t="s">
        <v>357</v>
      </c>
      <c r="C737" s="521"/>
      <c r="D737" s="521"/>
      <c r="E737" s="521"/>
      <c r="F737" s="521"/>
      <c r="G737" s="521"/>
      <c r="H737" s="521"/>
      <c r="I737" s="522"/>
      <c r="J737" s="303" t="s">
        <v>358</v>
      </c>
      <c r="K737" s="304"/>
      <c r="L737" s="304"/>
      <c r="M737" s="305"/>
      <c r="N737" s="303" t="s">
        <v>359</v>
      </c>
      <c r="O737" s="304"/>
      <c r="P737" s="304"/>
      <c r="Q737" s="305"/>
      <c r="R737" s="303" t="s">
        <v>360</v>
      </c>
      <c r="S737" s="304"/>
      <c r="T737" s="304"/>
      <c r="U737" s="305"/>
      <c r="V737" s="27"/>
    </row>
    <row r="738" spans="1:22" s="20" customFormat="1" ht="15" customHeight="1">
      <c r="A738" s="18"/>
      <c r="B738" s="621" t="s">
        <v>361</v>
      </c>
      <c r="C738" s="622"/>
      <c r="D738" s="622"/>
      <c r="E738" s="622"/>
      <c r="F738" s="622"/>
      <c r="G738" s="622"/>
      <c r="H738" s="622"/>
      <c r="I738" s="623"/>
      <c r="J738" s="624"/>
      <c r="K738" s="625"/>
      <c r="L738" s="625"/>
      <c r="M738" s="626"/>
      <c r="N738" s="627"/>
      <c r="O738" s="628"/>
      <c r="P738" s="628"/>
      <c r="Q738" s="629"/>
      <c r="R738" s="624"/>
      <c r="S738" s="625"/>
      <c r="T738" s="625"/>
      <c r="U738" s="626"/>
      <c r="V738" s="27"/>
    </row>
    <row r="739" spans="1:22" s="20" customFormat="1" ht="22.5" customHeight="1">
      <c r="A739" s="18"/>
      <c r="B739" s="630" t="s">
        <v>362</v>
      </c>
      <c r="C739" s="631"/>
      <c r="D739" s="631"/>
      <c r="E739" s="631"/>
      <c r="F739" s="631"/>
      <c r="G739" s="631"/>
      <c r="H739" s="631"/>
      <c r="I739" s="632"/>
      <c r="J739" s="476">
        <v>0</v>
      </c>
      <c r="K739" s="477"/>
      <c r="L739" s="477"/>
      <c r="M739" s="477"/>
      <c r="N739" s="633">
        <v>0</v>
      </c>
      <c r="O739" s="634"/>
      <c r="P739" s="634"/>
      <c r="Q739" s="635"/>
      <c r="R739" s="476">
        <f>J739*N739</f>
        <v>0</v>
      </c>
      <c r="S739" s="477"/>
      <c r="T739" s="477"/>
      <c r="U739" s="478"/>
      <c r="V739" s="27"/>
    </row>
    <row r="740" spans="1:22" s="20" customFormat="1" ht="18.75" customHeight="1">
      <c r="A740" s="18"/>
      <c r="B740" s="630" t="s">
        <v>363</v>
      </c>
      <c r="C740" s="631"/>
      <c r="D740" s="631"/>
      <c r="E740" s="631"/>
      <c r="F740" s="631"/>
      <c r="G740" s="631"/>
      <c r="H740" s="631"/>
      <c r="I740" s="632"/>
      <c r="J740" s="476">
        <v>0</v>
      </c>
      <c r="K740" s="477"/>
      <c r="L740" s="477"/>
      <c r="M740" s="477"/>
      <c r="N740" s="633">
        <v>0.1</v>
      </c>
      <c r="O740" s="634"/>
      <c r="P740" s="634"/>
      <c r="Q740" s="635"/>
      <c r="R740" s="476">
        <f>J740*N740</f>
        <v>0</v>
      </c>
      <c r="S740" s="477"/>
      <c r="T740" s="477"/>
      <c r="U740" s="478"/>
      <c r="V740" s="27"/>
    </row>
    <row r="741" spans="1:22" s="20" customFormat="1" ht="19.5" customHeight="1">
      <c r="A741" s="18"/>
      <c r="B741" s="630" t="s">
        <v>364</v>
      </c>
      <c r="C741" s="631"/>
      <c r="D741" s="631"/>
      <c r="E741" s="631"/>
      <c r="F741" s="631"/>
      <c r="G741" s="631"/>
      <c r="H741" s="631"/>
      <c r="I741" s="632"/>
      <c r="J741" s="476">
        <v>0</v>
      </c>
      <c r="K741" s="477"/>
      <c r="L741" s="477"/>
      <c r="M741" s="477"/>
      <c r="N741" s="633">
        <v>0.5</v>
      </c>
      <c r="O741" s="634"/>
      <c r="P741" s="634"/>
      <c r="Q741" s="635"/>
      <c r="R741" s="476">
        <f>J741*N741</f>
        <v>0</v>
      </c>
      <c r="S741" s="477"/>
      <c r="T741" s="477"/>
      <c r="U741" s="478"/>
      <c r="V741" s="27"/>
    </row>
    <row r="742" spans="1:22" s="20" customFormat="1" ht="19.5" customHeight="1">
      <c r="A742" s="18"/>
      <c r="B742" s="630" t="s">
        <v>365</v>
      </c>
      <c r="C742" s="631"/>
      <c r="D742" s="631"/>
      <c r="E742" s="631"/>
      <c r="F742" s="631"/>
      <c r="G742" s="631"/>
      <c r="H742" s="631"/>
      <c r="I742" s="632"/>
      <c r="J742" s="476">
        <v>0</v>
      </c>
      <c r="K742" s="477"/>
      <c r="L742" s="477"/>
      <c r="M742" s="477"/>
      <c r="N742" s="633">
        <v>1</v>
      </c>
      <c r="O742" s="634"/>
      <c r="P742" s="634"/>
      <c r="Q742" s="635"/>
      <c r="R742" s="476">
        <f>J742*N742</f>
        <v>0</v>
      </c>
      <c r="S742" s="477"/>
      <c r="T742" s="477"/>
      <c r="U742" s="478"/>
      <c r="V742" s="27"/>
    </row>
    <row r="743" spans="1:22" s="20" customFormat="1" ht="19.5" customHeight="1">
      <c r="A743" s="18"/>
      <c r="B743" s="630" t="s">
        <v>143</v>
      </c>
      <c r="C743" s="631"/>
      <c r="D743" s="631"/>
      <c r="E743" s="631"/>
      <c r="F743" s="631"/>
      <c r="G743" s="631"/>
      <c r="H743" s="631"/>
      <c r="I743" s="632"/>
      <c r="J743" s="476">
        <f>SUM(J739:M742)</f>
        <v>0</v>
      </c>
      <c r="K743" s="477"/>
      <c r="L743" s="477"/>
      <c r="M743" s="477"/>
      <c r="N743" s="636"/>
      <c r="O743" s="634"/>
      <c r="P743" s="634"/>
      <c r="Q743" s="635"/>
      <c r="R743" s="476">
        <f>SUM(R739:U742)</f>
        <v>0</v>
      </c>
      <c r="S743" s="477"/>
      <c r="T743" s="477"/>
      <c r="U743" s="478"/>
      <c r="V743" s="27"/>
    </row>
    <row r="744" spans="1:22" s="20" customFormat="1" ht="19.5" customHeight="1">
      <c r="A744" s="18"/>
      <c r="B744" s="621" t="s">
        <v>366</v>
      </c>
      <c r="C744" s="622"/>
      <c r="D744" s="622"/>
      <c r="E744" s="622"/>
      <c r="F744" s="622"/>
      <c r="G744" s="622"/>
      <c r="H744" s="622"/>
      <c r="I744" s="623"/>
      <c r="J744" s="476"/>
      <c r="K744" s="477"/>
      <c r="L744" s="477"/>
      <c r="M744" s="477"/>
      <c r="N744" s="636"/>
      <c r="O744" s="634"/>
      <c r="P744" s="634"/>
      <c r="Q744" s="635"/>
      <c r="R744" s="476"/>
      <c r="S744" s="477"/>
      <c r="T744" s="477"/>
      <c r="U744" s="478"/>
      <c r="V744" s="27"/>
    </row>
    <row r="745" spans="1:22" s="20" customFormat="1" ht="19.5" customHeight="1">
      <c r="A745" s="18"/>
      <c r="B745" s="630" t="s">
        <v>362</v>
      </c>
      <c r="C745" s="631"/>
      <c r="D745" s="631"/>
      <c r="E745" s="631"/>
      <c r="F745" s="631"/>
      <c r="G745" s="631"/>
      <c r="H745" s="631"/>
      <c r="I745" s="632"/>
      <c r="J745" s="476">
        <v>0</v>
      </c>
      <c r="K745" s="477"/>
      <c r="L745" s="477"/>
      <c r="M745" s="477"/>
      <c r="N745" s="633">
        <v>0</v>
      </c>
      <c r="O745" s="634"/>
      <c r="P745" s="634"/>
      <c r="Q745" s="635"/>
      <c r="R745" s="476">
        <f>J745*N745</f>
        <v>0</v>
      </c>
      <c r="S745" s="477"/>
      <c r="T745" s="477"/>
      <c r="U745" s="478"/>
      <c r="V745" s="27"/>
    </row>
    <row r="746" spans="1:22" s="20" customFormat="1" ht="19.5" customHeight="1">
      <c r="A746" s="18"/>
      <c r="B746" s="630" t="s">
        <v>363</v>
      </c>
      <c r="C746" s="631"/>
      <c r="D746" s="631"/>
      <c r="E746" s="631"/>
      <c r="F746" s="631"/>
      <c r="G746" s="631"/>
      <c r="H746" s="631"/>
      <c r="I746" s="632"/>
      <c r="J746" s="476">
        <v>0</v>
      </c>
      <c r="K746" s="477"/>
      <c r="L746" s="477"/>
      <c r="M746" s="477"/>
      <c r="N746" s="633">
        <v>0.1</v>
      </c>
      <c r="O746" s="634"/>
      <c r="P746" s="634"/>
      <c r="Q746" s="635"/>
      <c r="R746" s="476">
        <f>J746*N746</f>
        <v>0</v>
      </c>
      <c r="S746" s="477"/>
      <c r="T746" s="477"/>
      <c r="U746" s="478"/>
      <c r="V746" s="27"/>
    </row>
    <row r="747" spans="1:22" s="20" customFormat="1" ht="19.5" customHeight="1">
      <c r="A747" s="18"/>
      <c r="B747" s="630" t="s">
        <v>364</v>
      </c>
      <c r="C747" s="631"/>
      <c r="D747" s="631"/>
      <c r="E747" s="631"/>
      <c r="F747" s="631"/>
      <c r="G747" s="631"/>
      <c r="H747" s="631"/>
      <c r="I747" s="632"/>
      <c r="J747" s="476">
        <v>0</v>
      </c>
      <c r="K747" s="477"/>
      <c r="L747" s="477"/>
      <c r="M747" s="477"/>
      <c r="N747" s="633">
        <v>0.5</v>
      </c>
      <c r="O747" s="634"/>
      <c r="P747" s="634"/>
      <c r="Q747" s="635"/>
      <c r="R747" s="476">
        <f>J747*N747</f>
        <v>0</v>
      </c>
      <c r="S747" s="477"/>
      <c r="T747" s="477"/>
      <c r="U747" s="478"/>
      <c r="V747" s="27"/>
    </row>
    <row r="748" spans="1:22" s="20" customFormat="1" ht="19.5" customHeight="1">
      <c r="A748" s="18"/>
      <c r="B748" s="630" t="s">
        <v>365</v>
      </c>
      <c r="C748" s="631"/>
      <c r="D748" s="631"/>
      <c r="E748" s="631"/>
      <c r="F748" s="631"/>
      <c r="G748" s="631"/>
      <c r="H748" s="631"/>
      <c r="I748" s="632"/>
      <c r="J748" s="476">
        <v>0</v>
      </c>
      <c r="K748" s="477"/>
      <c r="L748" s="477"/>
      <c r="M748" s="477"/>
      <c r="N748" s="633">
        <v>1</v>
      </c>
      <c r="O748" s="634"/>
      <c r="P748" s="634"/>
      <c r="Q748" s="635"/>
      <c r="R748" s="476">
        <f>J748*N748</f>
        <v>0</v>
      </c>
      <c r="S748" s="477"/>
      <c r="T748" s="477"/>
      <c r="U748" s="478"/>
      <c r="V748" s="27"/>
    </row>
    <row r="749" spans="1:22" s="20" customFormat="1" ht="19.5" customHeight="1">
      <c r="A749" s="18"/>
      <c r="B749" s="630" t="s">
        <v>143</v>
      </c>
      <c r="C749" s="631"/>
      <c r="D749" s="631"/>
      <c r="E749" s="631"/>
      <c r="F749" s="631"/>
      <c r="G749" s="631"/>
      <c r="H749" s="631"/>
      <c r="I749" s="632"/>
      <c r="J749" s="476">
        <f>SUM(J745:M748)</f>
        <v>0</v>
      </c>
      <c r="K749" s="477"/>
      <c r="L749" s="477"/>
      <c r="M749" s="477"/>
      <c r="N749" s="636"/>
      <c r="O749" s="634"/>
      <c r="P749" s="634"/>
      <c r="Q749" s="635"/>
      <c r="R749" s="476">
        <f>SUM(R745:U748)</f>
        <v>0</v>
      </c>
      <c r="S749" s="477"/>
      <c r="T749" s="477"/>
      <c r="U749" s="478"/>
      <c r="V749" s="27"/>
    </row>
    <row r="750" spans="1:22" s="20" customFormat="1" ht="19.5" customHeight="1">
      <c r="A750" s="18"/>
      <c r="B750" s="621" t="s">
        <v>367</v>
      </c>
      <c r="C750" s="622"/>
      <c r="D750" s="622"/>
      <c r="E750" s="622"/>
      <c r="F750" s="622"/>
      <c r="G750" s="622"/>
      <c r="H750" s="622"/>
      <c r="I750" s="623"/>
      <c r="J750" s="476"/>
      <c r="K750" s="477"/>
      <c r="L750" s="477"/>
      <c r="M750" s="477"/>
      <c r="N750" s="636"/>
      <c r="O750" s="634"/>
      <c r="P750" s="634"/>
      <c r="Q750" s="635"/>
      <c r="R750" s="476"/>
      <c r="S750" s="477"/>
      <c r="T750" s="477"/>
      <c r="U750" s="478"/>
      <c r="V750" s="27"/>
    </row>
    <row r="751" spans="1:22" s="20" customFormat="1" ht="19.5" customHeight="1">
      <c r="A751" s="18"/>
      <c r="B751" s="630" t="s">
        <v>362</v>
      </c>
      <c r="C751" s="631"/>
      <c r="D751" s="631"/>
      <c r="E751" s="631"/>
      <c r="F751" s="631"/>
      <c r="G751" s="631"/>
      <c r="H751" s="631"/>
      <c r="I751" s="632"/>
      <c r="J751" s="476">
        <v>0</v>
      </c>
      <c r="K751" s="477"/>
      <c r="L751" s="477"/>
      <c r="M751" s="477"/>
      <c r="N751" s="633">
        <v>0</v>
      </c>
      <c r="O751" s="634"/>
      <c r="P751" s="634"/>
      <c r="Q751" s="635"/>
      <c r="R751" s="476">
        <f>J751*N751</f>
        <v>0</v>
      </c>
      <c r="S751" s="477"/>
      <c r="T751" s="477"/>
      <c r="U751" s="478"/>
      <c r="V751" s="27"/>
    </row>
    <row r="752" spans="1:22" s="20" customFormat="1" ht="19.5" customHeight="1">
      <c r="A752" s="18"/>
      <c r="B752" s="630" t="s">
        <v>363</v>
      </c>
      <c r="C752" s="631"/>
      <c r="D752" s="631"/>
      <c r="E752" s="631"/>
      <c r="F752" s="631"/>
      <c r="G752" s="631"/>
      <c r="H752" s="631"/>
      <c r="I752" s="632"/>
      <c r="J752" s="476">
        <v>0</v>
      </c>
      <c r="K752" s="477"/>
      <c r="L752" s="477"/>
      <c r="M752" s="477"/>
      <c r="N752" s="633">
        <v>0.1</v>
      </c>
      <c r="O752" s="634"/>
      <c r="P752" s="634"/>
      <c r="Q752" s="635"/>
      <c r="R752" s="476">
        <f>J752*N752</f>
        <v>0</v>
      </c>
      <c r="S752" s="477"/>
      <c r="T752" s="477"/>
      <c r="U752" s="478"/>
      <c r="V752" s="27"/>
    </row>
    <row r="753" spans="1:32" s="20" customFormat="1" ht="19.5" customHeight="1">
      <c r="A753" s="18"/>
      <c r="B753" s="630" t="s">
        <v>364</v>
      </c>
      <c r="C753" s="631"/>
      <c r="D753" s="631"/>
      <c r="E753" s="631"/>
      <c r="F753" s="631"/>
      <c r="G753" s="631"/>
      <c r="H753" s="631"/>
      <c r="I753" s="632"/>
      <c r="J753" s="476">
        <v>0</v>
      </c>
      <c r="K753" s="477"/>
      <c r="L753" s="477"/>
      <c r="M753" s="477"/>
      <c r="N753" s="633">
        <v>0.5</v>
      </c>
      <c r="O753" s="634"/>
      <c r="P753" s="634"/>
      <c r="Q753" s="635"/>
      <c r="R753" s="476">
        <f>J753*N753</f>
        <v>0</v>
      </c>
      <c r="S753" s="477"/>
      <c r="T753" s="477"/>
      <c r="U753" s="478"/>
      <c r="V753" s="27"/>
    </row>
    <row r="754" spans="1:32" s="20" customFormat="1" ht="19.5" customHeight="1">
      <c r="A754" s="616"/>
      <c r="B754" s="630" t="s">
        <v>365</v>
      </c>
      <c r="C754" s="631"/>
      <c r="D754" s="631"/>
      <c r="E754" s="631"/>
      <c r="F754" s="631"/>
      <c r="G754" s="631"/>
      <c r="H754" s="631"/>
      <c r="I754" s="632"/>
      <c r="J754" s="476">
        <v>0</v>
      </c>
      <c r="K754" s="477"/>
      <c r="L754" s="477"/>
      <c r="M754" s="477"/>
      <c r="N754" s="633">
        <v>1</v>
      </c>
      <c r="O754" s="634"/>
      <c r="P754" s="634"/>
      <c r="Q754" s="635"/>
      <c r="R754" s="476">
        <f>J754*N754</f>
        <v>0</v>
      </c>
      <c r="S754" s="477"/>
      <c r="T754" s="477"/>
      <c r="U754" s="478"/>
      <c r="V754" s="27"/>
    </row>
    <row r="755" spans="1:32" s="20" customFormat="1" ht="19.5" customHeight="1">
      <c r="A755" s="616"/>
      <c r="B755" s="630" t="s">
        <v>143</v>
      </c>
      <c r="C755" s="631"/>
      <c r="D755" s="631"/>
      <c r="E755" s="631"/>
      <c r="F755" s="631"/>
      <c r="G755" s="631"/>
      <c r="H755" s="631"/>
      <c r="I755" s="632"/>
      <c r="J755" s="476">
        <f>SUM(J751:M754)</f>
        <v>0</v>
      </c>
      <c r="K755" s="477"/>
      <c r="L755" s="477"/>
      <c r="M755" s="477"/>
      <c r="N755" s="637"/>
      <c r="O755" s="638"/>
      <c r="P755" s="638"/>
      <c r="Q755" s="639"/>
      <c r="R755" s="476">
        <f>SUM(R751:U754)</f>
        <v>0</v>
      </c>
      <c r="S755" s="477"/>
      <c r="T755" s="477"/>
      <c r="U755" s="478"/>
      <c r="V755" s="27"/>
    </row>
    <row r="756" spans="1:32" s="20" customFormat="1" ht="27.75" customHeight="1">
      <c r="A756" s="616"/>
      <c r="B756" s="640" t="s">
        <v>368</v>
      </c>
      <c r="C756" s="641"/>
      <c r="D756" s="641"/>
      <c r="E756" s="641"/>
      <c r="F756" s="641"/>
      <c r="G756" s="641"/>
      <c r="H756" s="641"/>
      <c r="I756" s="642"/>
      <c r="J756" s="456">
        <f>SUM(J743+J749+J755)</f>
        <v>0</v>
      </c>
      <c r="K756" s="482"/>
      <c r="L756" s="482"/>
      <c r="M756" s="482"/>
      <c r="N756" s="643"/>
      <c r="O756" s="644"/>
      <c r="P756" s="644"/>
      <c r="Q756" s="645"/>
      <c r="R756" s="456">
        <f>SUM(R743+R749+R755)</f>
        <v>0</v>
      </c>
      <c r="S756" s="482"/>
      <c r="T756" s="482"/>
      <c r="U756" s="606"/>
      <c r="V756" s="27"/>
    </row>
    <row r="757" spans="1:32" s="20" customFormat="1" ht="19.5" customHeight="1">
      <c r="A757" s="646"/>
      <c r="B757" s="400"/>
      <c r="C757" s="400"/>
      <c r="D757" s="647"/>
      <c r="E757" s="647"/>
      <c r="F757" s="647"/>
      <c r="G757" s="647"/>
      <c r="H757" s="647"/>
      <c r="I757" s="647"/>
      <c r="J757" s="648"/>
      <c r="K757" s="648"/>
      <c r="L757" s="648"/>
      <c r="M757" s="648"/>
      <c r="N757" s="649"/>
      <c r="O757" s="649"/>
      <c r="P757" s="649"/>
      <c r="Q757" s="649"/>
      <c r="R757" s="648"/>
      <c r="S757" s="648"/>
      <c r="T757" s="648"/>
      <c r="U757" s="648"/>
      <c r="V757" s="27"/>
    </row>
    <row r="758" spans="1:32" s="20" customFormat="1" ht="42" customHeight="1">
      <c r="A758" s="14"/>
      <c r="B758" s="27"/>
      <c r="C758" s="27"/>
      <c r="D758" s="650" t="str">
        <f>"Dari tabel diatas dapat diketahui bahwa jumlah penyisihan piutang tidak tertagih sebesar Rp. "&amp;FIXED(R756)&amp;" dikategorikan menjadi 4, yaitu :"</f>
        <v>Dari tabel diatas dapat diketahui bahwa jumlah penyisihan piutang tidak tertagih sebesar Rp. 0.00 dikategorikan menjadi 4, yaitu :</v>
      </c>
      <c r="E758" s="650"/>
      <c r="F758" s="650"/>
      <c r="G758" s="650"/>
      <c r="H758" s="650"/>
      <c r="I758" s="650"/>
      <c r="J758" s="650"/>
      <c r="K758" s="650"/>
      <c r="L758" s="650"/>
      <c r="M758" s="650"/>
      <c r="N758" s="650"/>
      <c r="O758" s="650"/>
      <c r="P758" s="650"/>
      <c r="Q758" s="650"/>
      <c r="R758" s="650"/>
      <c r="S758" s="650"/>
      <c r="T758" s="650"/>
      <c r="U758" s="650"/>
      <c r="V758" s="27"/>
    </row>
    <row r="759" spans="1:32" s="20" customFormat="1" ht="19.5" customHeight="1">
      <c r="A759" s="14"/>
      <c r="B759" s="27"/>
      <c r="C759" s="27"/>
      <c r="D759" s="651">
        <v>1</v>
      </c>
      <c r="E759" s="129" t="s">
        <v>362</v>
      </c>
      <c r="F759" s="129"/>
      <c r="G759" s="129"/>
      <c r="H759" s="129"/>
      <c r="I759" s="129"/>
      <c r="J759" s="129"/>
      <c r="K759" s="129"/>
      <c r="L759" s="129"/>
      <c r="M759" s="129"/>
      <c r="N759" s="285" t="s">
        <v>369</v>
      </c>
      <c r="O759" s="652">
        <f>R739+R745+R751</f>
        <v>0</v>
      </c>
      <c r="P759" s="652"/>
      <c r="Q759" s="652"/>
      <c r="R759" s="652"/>
      <c r="S759" s="652"/>
      <c r="T759" s="651"/>
      <c r="U759" s="651"/>
      <c r="V759" s="27"/>
    </row>
    <row r="760" spans="1:32" s="20" customFormat="1" ht="17.25" customHeight="1">
      <c r="A760" s="14"/>
      <c r="B760" s="27"/>
      <c r="C760" s="27"/>
      <c r="D760" s="651">
        <v>2</v>
      </c>
      <c r="E760" s="129" t="s">
        <v>363</v>
      </c>
      <c r="F760" s="129"/>
      <c r="G760" s="129"/>
      <c r="H760" s="129"/>
      <c r="I760" s="129"/>
      <c r="J760" s="129"/>
      <c r="K760" s="129"/>
      <c r="L760" s="129"/>
      <c r="M760" s="129"/>
      <c r="N760" s="285" t="s">
        <v>369</v>
      </c>
      <c r="O760" s="652">
        <f>R740+R746+R752</f>
        <v>0</v>
      </c>
      <c r="P760" s="652"/>
      <c r="Q760" s="652"/>
      <c r="R760" s="652"/>
      <c r="S760" s="652"/>
      <c r="T760" s="651"/>
      <c r="U760" s="651"/>
      <c r="V760" s="27"/>
    </row>
    <row r="761" spans="1:32" s="20" customFormat="1" ht="21.75" customHeight="1">
      <c r="A761" s="14"/>
      <c r="B761" s="27"/>
      <c r="C761" s="27"/>
      <c r="D761" s="653">
        <v>3</v>
      </c>
      <c r="E761" s="129" t="s">
        <v>364</v>
      </c>
      <c r="F761" s="129"/>
      <c r="G761" s="129"/>
      <c r="H761" s="129"/>
      <c r="I761" s="129"/>
      <c r="J761" s="129"/>
      <c r="K761" s="129"/>
      <c r="L761" s="129"/>
      <c r="M761" s="129"/>
      <c r="N761" s="285" t="s">
        <v>369</v>
      </c>
      <c r="O761" s="652">
        <f>R741+R747+R753</f>
        <v>0</v>
      </c>
      <c r="P761" s="652"/>
      <c r="Q761" s="652"/>
      <c r="R761" s="652"/>
      <c r="S761" s="652"/>
      <c r="T761" s="651"/>
      <c r="U761" s="651"/>
      <c r="V761" s="27"/>
    </row>
    <row r="762" spans="1:32" s="20" customFormat="1" ht="17.25" customHeight="1">
      <c r="A762" s="14"/>
      <c r="B762" s="27"/>
      <c r="C762" s="27"/>
      <c r="D762" s="163">
        <v>4</v>
      </c>
      <c r="E762" s="358" t="s">
        <v>365</v>
      </c>
      <c r="F762" s="358"/>
      <c r="G762" s="358"/>
      <c r="H762" s="358"/>
      <c r="I762" s="358"/>
      <c r="J762" s="358"/>
      <c r="K762" s="358"/>
      <c r="L762" s="358"/>
      <c r="M762" s="358"/>
      <c r="N762" s="285" t="s">
        <v>369</v>
      </c>
      <c r="O762" s="652">
        <f>R742+R748+R754</f>
        <v>0</v>
      </c>
      <c r="P762" s="652"/>
      <c r="Q762" s="652"/>
      <c r="R762" s="652"/>
      <c r="S762" s="652"/>
      <c r="T762" s="46"/>
      <c r="U762" s="46"/>
      <c r="V762" s="27"/>
    </row>
    <row r="763" spans="1:32" s="20" customFormat="1" ht="17.25" customHeight="1">
      <c r="A763" s="14"/>
      <c r="B763" s="27"/>
      <c r="C763" s="27"/>
      <c r="D763" s="163"/>
      <c r="E763" s="425"/>
      <c r="F763" s="425"/>
      <c r="G763" s="425"/>
      <c r="H763" s="425"/>
      <c r="I763" s="425"/>
      <c r="J763" s="425"/>
      <c r="K763" s="425"/>
      <c r="L763" s="425"/>
      <c r="M763" s="425"/>
      <c r="N763" s="285"/>
      <c r="O763" s="654"/>
      <c r="P763" s="654"/>
      <c r="Q763" s="654"/>
      <c r="R763" s="654"/>
      <c r="S763" s="654"/>
      <c r="T763" s="46"/>
      <c r="U763" s="46"/>
      <c r="V763" s="27"/>
    </row>
    <row r="764" spans="1:32" s="20" customFormat="1" ht="17.25" customHeight="1">
      <c r="A764" s="14"/>
      <c r="B764" s="12"/>
      <c r="C764" s="655" t="s">
        <v>370</v>
      </c>
      <c r="D764" s="655"/>
      <c r="E764" s="655"/>
      <c r="F764" s="655"/>
      <c r="G764" s="655"/>
      <c r="H764" s="655"/>
      <c r="I764" s="655"/>
      <c r="J764" s="655"/>
      <c r="K764" s="655"/>
      <c r="L764" s="655"/>
      <c r="M764" s="655"/>
      <c r="N764" s="655"/>
      <c r="O764" s="655"/>
      <c r="P764" s="655"/>
      <c r="Q764" s="655"/>
      <c r="R764" s="655"/>
      <c r="S764" s="655"/>
      <c r="T764" s="655"/>
      <c r="U764" s="655"/>
      <c r="V764" s="27"/>
    </row>
    <row r="765" spans="1:32" s="20" customFormat="1" ht="63.75" customHeight="1">
      <c r="A765" s="14"/>
      <c r="C765" s="567"/>
      <c r="D765" s="313" t="str">
        <f>"Saldo Beban Dibayar di Muka per tanggal "&amp;'[1]2.ISIAN DATA SKPD'!D8&amp;" dan "&amp;'[1]2.ISIAN DATA SKPD'!D12&amp;" masing-masing adalah sebesar Rp. "&amp;FIXED(N775)&amp;" dan Rp. "&amp;FIXED(I775)&amp;" atau mengalami kenaikan/penurunan sebesar "&amp;FIXED(S775)&amp;"% dari tahun "&amp;'[1]2.ISIAN DATA SKPD'!D12&amp;"."</f>
        <v>Saldo Beban Dibayar di Muka per tanggal 31 Desember 2017 dan 2016 masing-masing adalah sebesar Rp. 0.00 dan Rp. 0.00 atau mengalami kenaikan/penurunan sebesar 0.00% dari tahun 2016.</v>
      </c>
      <c r="E765" s="313"/>
      <c r="F765" s="313"/>
      <c r="G765" s="313"/>
      <c r="H765" s="313"/>
      <c r="I765" s="313"/>
      <c r="J765" s="313"/>
      <c r="K765" s="313"/>
      <c r="L765" s="313"/>
      <c r="M765" s="313"/>
      <c r="N765" s="313"/>
      <c r="O765" s="313"/>
      <c r="P765" s="313"/>
      <c r="Q765" s="313"/>
      <c r="R765" s="313"/>
      <c r="S765" s="313"/>
      <c r="T765" s="313"/>
      <c r="U765" s="313"/>
      <c r="V765" s="656"/>
      <c r="W765" s="656"/>
      <c r="X765" s="656"/>
      <c r="Y765" s="656"/>
      <c r="Z765" s="656"/>
      <c r="AA765" s="656"/>
      <c r="AB765" s="656"/>
      <c r="AC765" s="656"/>
      <c r="AD765" s="656"/>
      <c r="AE765" s="656"/>
      <c r="AF765" s="656"/>
    </row>
    <row r="766" spans="1:32" s="20" customFormat="1" ht="79.5" customHeight="1">
      <c r="A766" s="14"/>
      <c r="C766" s="567"/>
      <c r="D766" s="129" t="s">
        <v>371</v>
      </c>
      <c r="E766" s="129"/>
      <c r="F766" s="129"/>
      <c r="G766" s="129"/>
      <c r="H766" s="129"/>
      <c r="I766" s="129"/>
      <c r="J766" s="129"/>
      <c r="K766" s="129"/>
      <c r="L766" s="129"/>
      <c r="M766" s="129"/>
      <c r="N766" s="129"/>
      <c r="O766" s="129"/>
      <c r="P766" s="129"/>
      <c r="Q766" s="129"/>
      <c r="R766" s="129"/>
      <c r="S766" s="129"/>
      <c r="T766" s="129"/>
      <c r="U766" s="129"/>
      <c r="V766" s="27"/>
    </row>
    <row r="767" spans="1:32" s="20" customFormat="1" ht="25.5" customHeight="1">
      <c r="A767" s="14"/>
      <c r="C767" s="285"/>
      <c r="D767" s="285"/>
      <c r="E767" s="285"/>
      <c r="F767" s="285"/>
      <c r="G767" s="285"/>
      <c r="H767" s="285"/>
      <c r="I767" s="285"/>
      <c r="J767" s="285"/>
      <c r="K767" s="285"/>
      <c r="L767" s="285"/>
      <c r="M767" s="285"/>
      <c r="N767" s="285"/>
      <c r="O767" s="285"/>
      <c r="P767" s="285"/>
      <c r="Q767" s="285"/>
      <c r="R767" s="285"/>
      <c r="S767" s="285"/>
      <c r="T767" s="285"/>
      <c r="U767" s="285"/>
      <c r="V767" s="27"/>
    </row>
    <row r="768" spans="1:32" s="20" customFormat="1" ht="24.75" customHeight="1">
      <c r="A768" s="14"/>
      <c r="B768" s="386" t="s">
        <v>372</v>
      </c>
      <c r="C768" s="386"/>
      <c r="D768" s="386"/>
      <c r="E768" s="386"/>
      <c r="F768" s="386"/>
      <c r="G768" s="386"/>
      <c r="H768" s="386"/>
      <c r="I768" s="386"/>
      <c r="J768" s="386"/>
      <c r="K768" s="386"/>
      <c r="L768" s="386"/>
      <c r="M768" s="386"/>
      <c r="N768" s="386"/>
      <c r="O768" s="386"/>
      <c r="P768" s="386"/>
      <c r="Q768" s="386"/>
      <c r="R768" s="386"/>
      <c r="S768" s="386"/>
      <c r="T768" s="386"/>
      <c r="U768" s="386"/>
      <c r="V768" s="27"/>
    </row>
    <row r="769" spans="1:35" s="20" customFormat="1" ht="30.75" customHeight="1">
      <c r="A769" s="14"/>
      <c r="B769" s="657" t="s">
        <v>293</v>
      </c>
      <c r="C769" s="658"/>
      <c r="D769" s="658"/>
      <c r="E769" s="658"/>
      <c r="F769" s="658"/>
      <c r="G769" s="658"/>
      <c r="H769" s="659"/>
      <c r="I769" s="55" t="str">
        <f>J679</f>
        <v>TA 2017</v>
      </c>
      <c r="J769" s="56"/>
      <c r="K769" s="56"/>
      <c r="L769" s="56"/>
      <c r="M769" s="57"/>
      <c r="N769" s="55" t="str">
        <f>O679</f>
        <v>TA 2016</v>
      </c>
      <c r="O769" s="56"/>
      <c r="P769" s="56"/>
      <c r="Q769" s="56"/>
      <c r="R769" s="56"/>
      <c r="S769" s="55" t="s">
        <v>118</v>
      </c>
      <c r="T769" s="56"/>
      <c r="U769" s="57"/>
      <c r="V769" s="431"/>
      <c r="W769" s="432"/>
      <c r="X769" s="432"/>
      <c r="Y769" s="433"/>
      <c r="Z769" s="209"/>
      <c r="AA769" s="209"/>
      <c r="AB769" s="209"/>
      <c r="AC769" s="447" t="s">
        <v>138</v>
      </c>
      <c r="AD769" s="448"/>
      <c r="AE769" s="448"/>
      <c r="AF769" s="449"/>
      <c r="AG769" s="656"/>
      <c r="AH769" s="656"/>
      <c r="AI769" s="656"/>
    </row>
    <row r="770" spans="1:35" s="20" customFormat="1" ht="16.5" customHeight="1">
      <c r="A770" s="14"/>
      <c r="B770" s="294" t="str">
        <f>'[1]4.NERACA'!C38</f>
        <v>Beban Pegawai  Dibayar Dimuka</v>
      </c>
      <c r="C770" s="295"/>
      <c r="D770" s="295"/>
      <c r="E770" s="295"/>
      <c r="F770" s="295"/>
      <c r="G770" s="295"/>
      <c r="H770" s="296"/>
      <c r="I770" s="660">
        <f>'[1]4.NERACA'!I37</f>
        <v>0</v>
      </c>
      <c r="J770" s="661"/>
      <c r="K770" s="661"/>
      <c r="L770" s="661"/>
      <c r="M770" s="661"/>
      <c r="N770" s="660">
        <f>'[1]4.NERACA'!D37</f>
        <v>0</v>
      </c>
      <c r="O770" s="661"/>
      <c r="P770" s="661"/>
      <c r="Q770" s="661"/>
      <c r="R770" s="661"/>
      <c r="S770" s="662"/>
      <c r="T770" s="663"/>
      <c r="U770" s="663"/>
      <c r="V770" s="204"/>
      <c r="W770" s="205"/>
      <c r="X770" s="205"/>
      <c r="Y770" s="208"/>
      <c r="Z770" s="209"/>
      <c r="AA770" s="209"/>
      <c r="AB770" s="209"/>
      <c r="AC770" s="451">
        <f t="shared" ref="AC770:AC775" si="22">I770-N770</f>
        <v>0</v>
      </c>
      <c r="AD770" s="452"/>
      <c r="AE770" s="452"/>
      <c r="AF770" s="453"/>
    </row>
    <row r="771" spans="1:35" s="20" customFormat="1" ht="15" customHeight="1">
      <c r="A771" s="14"/>
      <c r="B771" s="294" t="str">
        <f>'[1]4.NERACA'!C39</f>
        <v>Beban Barang Dibayar Dimuka</v>
      </c>
      <c r="C771" s="295"/>
      <c r="D771" s="295"/>
      <c r="E771" s="295"/>
      <c r="F771" s="295"/>
      <c r="G771" s="295"/>
      <c r="H771" s="296"/>
      <c r="I771" s="660">
        <f>'[1]4.NERACA'!I38</f>
        <v>0</v>
      </c>
      <c r="J771" s="661"/>
      <c r="K771" s="661"/>
      <c r="L771" s="661"/>
      <c r="M771" s="661"/>
      <c r="N771" s="660">
        <f>'[1]4.NERACA'!D38</f>
        <v>0</v>
      </c>
      <c r="O771" s="661"/>
      <c r="P771" s="661"/>
      <c r="Q771" s="661"/>
      <c r="R771" s="661"/>
      <c r="S771" s="662"/>
      <c r="T771" s="663"/>
      <c r="U771" s="663"/>
      <c r="V771" s="204"/>
      <c r="W771" s="205"/>
      <c r="X771" s="205"/>
      <c r="Y771" s="208"/>
      <c r="Z771" s="209"/>
      <c r="AA771" s="209"/>
      <c r="AB771" s="209"/>
      <c r="AC771" s="451">
        <f t="shared" si="22"/>
        <v>0</v>
      </c>
      <c r="AD771" s="452"/>
      <c r="AE771" s="452"/>
      <c r="AF771" s="453"/>
    </row>
    <row r="772" spans="1:35" s="20" customFormat="1" ht="36.75" customHeight="1">
      <c r="A772" s="646"/>
      <c r="B772" s="294" t="str">
        <f>'[1]4.NERACA'!C40</f>
        <v>Beban Jasa Dibayar Dimuka</v>
      </c>
      <c r="C772" s="295"/>
      <c r="D772" s="295"/>
      <c r="E772" s="295"/>
      <c r="F772" s="295"/>
      <c r="G772" s="295"/>
      <c r="H772" s="296"/>
      <c r="I772" s="660">
        <f>'[1]4.NERACA'!I39</f>
        <v>0</v>
      </c>
      <c r="J772" s="661"/>
      <c r="K772" s="661"/>
      <c r="L772" s="661"/>
      <c r="M772" s="661"/>
      <c r="N772" s="660">
        <f>'[1]4.NERACA'!D40</f>
        <v>0</v>
      </c>
      <c r="O772" s="661"/>
      <c r="P772" s="661"/>
      <c r="Q772" s="661"/>
      <c r="R772" s="661"/>
      <c r="S772" s="662"/>
      <c r="T772" s="663"/>
      <c r="U772" s="663"/>
      <c r="V772" s="204"/>
      <c r="W772" s="205"/>
      <c r="X772" s="205"/>
      <c r="Y772" s="208"/>
      <c r="Z772" s="209"/>
      <c r="AA772" s="209"/>
      <c r="AB772" s="209"/>
      <c r="AC772" s="451">
        <f t="shared" si="22"/>
        <v>0</v>
      </c>
      <c r="AD772" s="452"/>
      <c r="AE772" s="452"/>
      <c r="AF772" s="453"/>
    </row>
    <row r="773" spans="1:35" s="20" customFormat="1" ht="32.25" customHeight="1">
      <c r="A773" s="616"/>
      <c r="B773" s="294" t="str">
        <f>'[1]4.NERACA'!C41</f>
        <v>Beban Pemeliharaan Dibayar Dimuka</v>
      </c>
      <c r="C773" s="295"/>
      <c r="D773" s="295"/>
      <c r="E773" s="295"/>
      <c r="F773" s="295"/>
      <c r="G773" s="295"/>
      <c r="H773" s="296"/>
      <c r="I773" s="660">
        <f>'[1]4.NERACA'!I40</f>
        <v>0</v>
      </c>
      <c r="J773" s="661"/>
      <c r="K773" s="661"/>
      <c r="L773" s="661"/>
      <c r="M773" s="661"/>
      <c r="N773" s="660">
        <f>'[1]4.NERACA'!D41</f>
        <v>0</v>
      </c>
      <c r="O773" s="661"/>
      <c r="P773" s="661"/>
      <c r="Q773" s="661"/>
      <c r="R773" s="661"/>
      <c r="S773" s="662"/>
      <c r="T773" s="663"/>
      <c r="U773" s="663"/>
      <c r="V773" s="204"/>
      <c r="W773" s="205"/>
      <c r="X773" s="205"/>
      <c r="Y773" s="208"/>
      <c r="Z773" s="209"/>
      <c r="AA773" s="209"/>
      <c r="AB773" s="209"/>
      <c r="AC773" s="451">
        <f t="shared" si="22"/>
        <v>0</v>
      </c>
      <c r="AD773" s="452"/>
      <c r="AE773" s="452"/>
      <c r="AF773" s="453"/>
    </row>
    <row r="774" spans="1:35" s="20" customFormat="1" ht="26.25" customHeight="1">
      <c r="A774" s="616"/>
      <c r="B774" s="294" t="str">
        <f>'[1]4.NERACA'!C42</f>
        <v>Beban Lainnya</v>
      </c>
      <c r="C774" s="295"/>
      <c r="D774" s="295"/>
      <c r="E774" s="295"/>
      <c r="F774" s="295"/>
      <c r="G774" s="295"/>
      <c r="H774" s="296"/>
      <c r="I774" s="660">
        <f>'[1]4.NERACA'!I41</f>
        <v>0</v>
      </c>
      <c r="J774" s="661"/>
      <c r="K774" s="661"/>
      <c r="L774" s="661"/>
      <c r="M774" s="661"/>
      <c r="N774" s="660">
        <f>'[1]4.NERACA'!D42</f>
        <v>0</v>
      </c>
      <c r="O774" s="661"/>
      <c r="P774" s="661"/>
      <c r="Q774" s="661"/>
      <c r="R774" s="661"/>
      <c r="S774" s="662"/>
      <c r="T774" s="663"/>
      <c r="U774" s="663"/>
      <c r="V774" s="204"/>
      <c r="W774" s="205"/>
      <c r="X774" s="205"/>
      <c r="Y774" s="208"/>
      <c r="Z774" s="209"/>
      <c r="AA774" s="209"/>
      <c r="AB774" s="209"/>
      <c r="AC774" s="451">
        <f t="shared" si="22"/>
        <v>0</v>
      </c>
      <c r="AD774" s="452"/>
      <c r="AE774" s="452"/>
      <c r="AF774" s="453"/>
    </row>
    <row r="775" spans="1:35" s="20" customFormat="1" ht="29.25" customHeight="1">
      <c r="A775" s="14"/>
      <c r="B775" s="664" t="s">
        <v>143</v>
      </c>
      <c r="C775" s="85"/>
      <c r="D775" s="85"/>
      <c r="E775" s="85"/>
      <c r="F775" s="85"/>
      <c r="G775" s="85"/>
      <c r="H775" s="85"/>
      <c r="I775" s="663">
        <f>SUM(I770:P774)</f>
        <v>0</v>
      </c>
      <c r="J775" s="663"/>
      <c r="K775" s="663"/>
      <c r="L775" s="663"/>
      <c r="M775" s="663"/>
      <c r="N775" s="663">
        <f>SUM(N770:R774)</f>
        <v>0</v>
      </c>
      <c r="O775" s="663"/>
      <c r="P775" s="663"/>
      <c r="Q775" s="663"/>
      <c r="R775" s="663"/>
      <c r="S775" s="662">
        <v>0</v>
      </c>
      <c r="T775" s="663"/>
      <c r="U775" s="663"/>
      <c r="V775" s="204"/>
      <c r="W775" s="205"/>
      <c r="X775" s="205"/>
      <c r="Y775" s="208"/>
      <c r="Z775" s="209"/>
      <c r="AA775" s="209"/>
      <c r="AB775" s="209"/>
      <c r="AC775" s="451">
        <f t="shared" si="22"/>
        <v>0</v>
      </c>
      <c r="AD775" s="452"/>
      <c r="AE775" s="452"/>
      <c r="AF775" s="453"/>
    </row>
    <row r="776" spans="1:35" s="20" customFormat="1" ht="17.25" customHeight="1">
      <c r="A776" s="14"/>
      <c r="B776" s="164"/>
      <c r="C776" s="164"/>
      <c r="D776" s="164"/>
      <c r="E776" s="164"/>
      <c r="F776" s="164"/>
      <c r="G776" s="164"/>
      <c r="H776" s="164"/>
      <c r="I776" s="164"/>
      <c r="J776" s="164"/>
      <c r="K776" s="164"/>
      <c r="L776" s="164"/>
      <c r="M776" s="164"/>
      <c r="N776" s="164"/>
      <c r="O776" s="164"/>
      <c r="P776" s="164"/>
      <c r="Q776" s="164"/>
      <c r="R776" s="164"/>
      <c r="S776" s="164"/>
      <c r="T776" s="46"/>
      <c r="U776" s="46"/>
      <c r="V776" s="27"/>
    </row>
    <row r="777" spans="1:35" s="20" customFormat="1" ht="18.75" customHeight="1">
      <c r="A777" s="14"/>
      <c r="B777" s="12"/>
      <c r="C777" s="491" t="s">
        <v>373</v>
      </c>
      <c r="D777" s="491"/>
      <c r="E777" s="491"/>
      <c r="F777" s="491"/>
      <c r="G777" s="491"/>
      <c r="H777" s="491"/>
      <c r="I777" s="491"/>
      <c r="J777" s="491"/>
      <c r="K777" s="491"/>
      <c r="L777" s="491"/>
      <c r="M777" s="491"/>
      <c r="N777" s="491"/>
      <c r="O777" s="491"/>
      <c r="P777" s="491"/>
      <c r="Q777" s="491"/>
      <c r="R777" s="491"/>
      <c r="S777" s="491"/>
      <c r="T777" s="491"/>
      <c r="U777" s="491"/>
      <c r="V777" s="27"/>
    </row>
    <row r="778" spans="1:35" s="20" customFormat="1" ht="66" customHeight="1">
      <c r="A778" s="14"/>
      <c r="C778" s="313" t="str">
        <f>"Nilai Persediaan per "&amp;'[1]2.ISIAN DATA SKPD'!D8&amp;"  dan "&amp;'[1]2.ISIAN DATA SKPD'!D12&amp;" masing-masing adalah sebesar Rp. "&amp;FIXED(I786)&amp;" dan Rp. "&amp;FIXED(N786)&amp;" mengalami kenaikan sebesar Rp. "&amp;FIXED(AC786)&amp;" atau sebesar "&amp;FIXED(S786)&amp;"% dari tahun "&amp;'[1]2.ISIAN DATA SKPD'!D12&amp;"."</f>
        <v>Nilai Persediaan per 31 Desember 2017  dan 2016 masing-masing adalah sebesar Rp. 2,152,616,546.00 dan Rp. 41,508,303.00 mengalami kenaikan sebesar Rp. 2,111,108,243.00 atau sebesar 5,185.99% dari tahun 2016.</v>
      </c>
      <c r="D778" s="313"/>
      <c r="E778" s="313"/>
      <c r="F778" s="313"/>
      <c r="G778" s="313"/>
      <c r="H778" s="313"/>
      <c r="I778" s="313"/>
      <c r="J778" s="313"/>
      <c r="K778" s="313"/>
      <c r="L778" s="313"/>
      <c r="M778" s="313"/>
      <c r="N778" s="313"/>
      <c r="O778" s="313"/>
      <c r="P778" s="313"/>
      <c r="Q778" s="313"/>
      <c r="R778" s="313"/>
      <c r="S778" s="313"/>
      <c r="T778" s="313"/>
      <c r="U778" s="313"/>
      <c r="V778" s="27"/>
    </row>
    <row r="779" spans="1:35" s="20" customFormat="1" ht="81.75" customHeight="1">
      <c r="A779" s="14"/>
      <c r="C779" s="313" t="str">
        <f>"Persediaan adalah aset lancar dalam bentuk barang atau perlengkapan yang dimaksudkan untuk mendukung kegiatan operasional pemerintah, dan/atau untuk dijual, dan/atau diserahkan dalam rangka pelayanan kepada masyarakat. Rincian Persediaan per "&amp;'[1]2.ISIAN DATA SKPD'!D8&amp;" dan "&amp;'[1]2.ISIAN DATA SKPD'!D12&amp;"  adalah sebagai berikut: "</f>
        <v xml:space="preserve">Persediaan adalah aset lancar dalam bentuk barang atau perlengkapan yang dimaksudkan untuk mendukung kegiatan operasional pemerintah, dan/atau untuk dijual, dan/atau diserahkan dalam rangka pelayanan kepada masyarakat. Rincian Persediaan per 31 Desember 2017 dan 2016  adalah sebagai berikut: </v>
      </c>
      <c r="D779" s="313"/>
      <c r="E779" s="313"/>
      <c r="F779" s="313"/>
      <c r="G779" s="313"/>
      <c r="H779" s="313"/>
      <c r="I779" s="313"/>
      <c r="J779" s="313"/>
      <c r="K779" s="313"/>
      <c r="L779" s="313"/>
      <c r="M779" s="313"/>
      <c r="N779" s="313"/>
      <c r="O779" s="313"/>
      <c r="P779" s="313"/>
      <c r="Q779" s="313"/>
      <c r="R779" s="313"/>
      <c r="S779" s="313"/>
      <c r="T779" s="313"/>
      <c r="U779" s="313"/>
      <c r="V779" s="27"/>
    </row>
    <row r="780" spans="1:35" s="20" customFormat="1" ht="17.25" customHeight="1">
      <c r="A780" s="14"/>
      <c r="C780" s="285"/>
      <c r="D780" s="285"/>
      <c r="E780" s="285"/>
      <c r="F780" s="285"/>
      <c r="G780" s="285"/>
      <c r="H780" s="285"/>
      <c r="I780" s="285"/>
      <c r="J780" s="285"/>
      <c r="K780" s="285"/>
      <c r="L780" s="285"/>
      <c r="M780" s="285"/>
      <c r="N780" s="285"/>
      <c r="O780" s="285"/>
      <c r="P780" s="285"/>
      <c r="Q780" s="285"/>
      <c r="R780" s="285"/>
      <c r="S780" s="285"/>
      <c r="T780" s="285"/>
      <c r="U780" s="285"/>
      <c r="V780" s="27"/>
    </row>
    <row r="781" spans="1:35" s="20" customFormat="1" ht="18" customHeight="1">
      <c r="A781" s="14"/>
      <c r="B781" s="386" t="s">
        <v>374</v>
      </c>
      <c r="C781" s="386"/>
      <c r="D781" s="386"/>
      <c r="E781" s="386"/>
      <c r="F781" s="386"/>
      <c r="G781" s="386"/>
      <c r="H781" s="386"/>
      <c r="I781" s="386"/>
      <c r="J781" s="386"/>
      <c r="K781" s="386"/>
      <c r="L781" s="386"/>
      <c r="M781" s="386"/>
      <c r="N781" s="386"/>
      <c r="O781" s="386"/>
      <c r="P781" s="386"/>
      <c r="Q781" s="386"/>
      <c r="R781" s="386"/>
      <c r="S781" s="386"/>
      <c r="T781" s="386"/>
      <c r="U781" s="386"/>
      <c r="V781" s="27"/>
    </row>
    <row r="782" spans="1:35" s="20" customFormat="1" ht="32.25" customHeight="1">
      <c r="A782" s="14"/>
      <c r="B782" s="411" t="s">
        <v>375</v>
      </c>
      <c r="C782" s="454"/>
      <c r="D782" s="454"/>
      <c r="E782" s="454"/>
      <c r="F782" s="454"/>
      <c r="G782" s="454"/>
      <c r="H782" s="455"/>
      <c r="I782" s="55" t="str">
        <f>I769</f>
        <v>TA 2017</v>
      </c>
      <c r="J782" s="56"/>
      <c r="K782" s="56"/>
      <c r="L782" s="56"/>
      <c r="M782" s="57"/>
      <c r="N782" s="55" t="str">
        <f>N769</f>
        <v>TA 2016</v>
      </c>
      <c r="O782" s="56"/>
      <c r="P782" s="56"/>
      <c r="Q782" s="56"/>
      <c r="R782" s="56"/>
      <c r="S782" s="55" t="s">
        <v>118</v>
      </c>
      <c r="T782" s="56"/>
      <c r="U782" s="57"/>
      <c r="V782" s="431"/>
      <c r="W782" s="665"/>
      <c r="X782" s="666"/>
      <c r="Y782" s="451"/>
      <c r="Z782" s="665"/>
      <c r="AA782" s="665"/>
      <c r="AB782" s="666"/>
      <c r="AC782" s="447" t="s">
        <v>138</v>
      </c>
      <c r="AD782" s="448"/>
      <c r="AE782" s="448"/>
      <c r="AF782" s="449"/>
    </row>
    <row r="783" spans="1:35" s="20" customFormat="1" ht="28.5" customHeight="1">
      <c r="A783" s="14"/>
      <c r="B783" s="294" t="str">
        <f>'[1]4.NERACA'!C44</f>
        <v>Persediaan Bahan Pakai Habis</v>
      </c>
      <c r="C783" s="295"/>
      <c r="D783" s="295"/>
      <c r="E783" s="295"/>
      <c r="F783" s="295"/>
      <c r="G783" s="295"/>
      <c r="H783" s="296"/>
      <c r="I783" s="667">
        <f>'[1]4.NERACA'!I44</f>
        <v>7003696</v>
      </c>
      <c r="J783" s="667"/>
      <c r="K783" s="667"/>
      <c r="L783" s="667"/>
      <c r="M783" s="667"/>
      <c r="N783" s="667">
        <f>'[1]4.NERACA'!D44</f>
        <v>12958850</v>
      </c>
      <c r="O783" s="667"/>
      <c r="P783" s="667"/>
      <c r="Q783" s="667"/>
      <c r="R783" s="667"/>
      <c r="S783" s="663">
        <f>(I783-N783)/N783*100</f>
        <v>-45.954340084189568</v>
      </c>
      <c r="T783" s="663"/>
      <c r="U783" s="663"/>
      <c r="V783" s="204"/>
      <c r="W783" s="665"/>
      <c r="X783" s="666"/>
      <c r="Y783" s="451"/>
      <c r="Z783" s="665"/>
      <c r="AA783" s="665"/>
      <c r="AB783" s="666"/>
      <c r="AC783" s="451">
        <f>I783-N783</f>
        <v>-5955154</v>
      </c>
      <c r="AD783" s="452"/>
      <c r="AE783" s="452"/>
      <c r="AF783" s="453"/>
    </row>
    <row r="784" spans="1:35" s="20" customFormat="1" ht="29.25" customHeight="1">
      <c r="A784" s="14"/>
      <c r="B784" s="294" t="str">
        <f>'[1]4.NERACA'!C45</f>
        <v>Persediaan Bahan/Material</v>
      </c>
      <c r="C784" s="295"/>
      <c r="D784" s="295"/>
      <c r="E784" s="295"/>
      <c r="F784" s="295"/>
      <c r="G784" s="295"/>
      <c r="H784" s="296"/>
      <c r="I784" s="667">
        <f>'[1]4.NERACA'!I45</f>
        <v>37706850</v>
      </c>
      <c r="J784" s="667"/>
      <c r="K784" s="667"/>
      <c r="L784" s="667"/>
      <c r="M784" s="667"/>
      <c r="N784" s="667">
        <f>'[1]4.NERACA'!D45</f>
        <v>28549453</v>
      </c>
      <c r="O784" s="667"/>
      <c r="P784" s="667"/>
      <c r="Q784" s="667"/>
      <c r="R784" s="667"/>
      <c r="S784" s="663">
        <f>(I784-N784)/N784*100</f>
        <v>32.075560256793715</v>
      </c>
      <c r="T784" s="663"/>
      <c r="U784" s="663"/>
      <c r="V784" s="204"/>
      <c r="W784" s="665"/>
      <c r="X784" s="666"/>
      <c r="Y784" s="451"/>
      <c r="Z784" s="665"/>
      <c r="AA784" s="665"/>
      <c r="AB784" s="666"/>
      <c r="AC784" s="451">
        <f>I784-N784</f>
        <v>9157397</v>
      </c>
      <c r="AD784" s="452"/>
      <c r="AE784" s="452"/>
      <c r="AF784" s="453"/>
    </row>
    <row r="785" spans="1:32" s="20" customFormat="1" ht="28.5" customHeight="1">
      <c r="A785" s="14"/>
      <c r="B785" s="294" t="str">
        <f>'[1]4.NERACA'!C46</f>
        <v>Persediaan Barang Lainnya</v>
      </c>
      <c r="C785" s="295"/>
      <c r="D785" s="295"/>
      <c r="E785" s="295"/>
      <c r="F785" s="295"/>
      <c r="G785" s="295"/>
      <c r="H785" s="296"/>
      <c r="I785" s="667">
        <f>'[1]4.NERACA'!I46</f>
        <v>2107906000</v>
      </c>
      <c r="J785" s="667"/>
      <c r="K785" s="667"/>
      <c r="L785" s="667"/>
      <c r="M785" s="667"/>
      <c r="N785" s="667">
        <v>0</v>
      </c>
      <c r="O785" s="667"/>
      <c r="P785" s="667"/>
      <c r="Q785" s="667"/>
      <c r="R785" s="667"/>
      <c r="S785" s="662"/>
      <c r="T785" s="663"/>
      <c r="U785" s="663"/>
      <c r="V785" s="204"/>
      <c r="W785" s="665"/>
      <c r="X785" s="666"/>
      <c r="Y785" s="451"/>
      <c r="Z785" s="665"/>
      <c r="AA785" s="665"/>
      <c r="AB785" s="666"/>
      <c r="AC785" s="451">
        <f>I785-N785</f>
        <v>2107906000</v>
      </c>
      <c r="AD785" s="452"/>
      <c r="AE785" s="452"/>
      <c r="AF785" s="453"/>
    </row>
    <row r="786" spans="1:32" s="20" customFormat="1" ht="29.25" customHeight="1">
      <c r="A786" s="14"/>
      <c r="B786" s="668" t="s">
        <v>143</v>
      </c>
      <c r="C786" s="669"/>
      <c r="D786" s="669"/>
      <c r="E786" s="669"/>
      <c r="F786" s="669"/>
      <c r="G786" s="669"/>
      <c r="H786" s="670"/>
      <c r="I786" s="671">
        <f>SUM(I783:M785)</f>
        <v>2152616546</v>
      </c>
      <c r="J786" s="671"/>
      <c r="K786" s="671"/>
      <c r="L786" s="671"/>
      <c r="M786" s="671"/>
      <c r="N786" s="671">
        <f>SUM(N783:R785)</f>
        <v>41508303</v>
      </c>
      <c r="O786" s="671"/>
      <c r="P786" s="671"/>
      <c r="Q786" s="671"/>
      <c r="R786" s="671"/>
      <c r="S786" s="672">
        <f>I786/N786*100</f>
        <v>5185.9902487461359</v>
      </c>
      <c r="T786" s="672"/>
      <c r="U786" s="672"/>
      <c r="V786" s="673">
        <f>I786/N786*100</f>
        <v>5185.9902487461359</v>
      </c>
      <c r="W786" s="674"/>
      <c r="X786" s="675"/>
      <c r="Y786" s="451"/>
      <c r="Z786" s="665"/>
      <c r="AA786" s="665"/>
      <c r="AB786" s="666"/>
      <c r="AC786" s="451">
        <f>I786-N786</f>
        <v>2111108243</v>
      </c>
      <c r="AD786" s="452"/>
      <c r="AE786" s="452"/>
      <c r="AF786" s="453"/>
    </row>
    <row r="787" spans="1:32" s="20" customFormat="1" ht="12.75" customHeight="1">
      <c r="A787" s="14"/>
      <c r="B787" s="164"/>
      <c r="C787" s="164"/>
      <c r="D787" s="164"/>
      <c r="E787" s="164"/>
      <c r="F787" s="164"/>
      <c r="G787" s="164"/>
      <c r="H787" s="164"/>
      <c r="I787" s="164"/>
      <c r="J787" s="164"/>
      <c r="K787" s="164"/>
      <c r="L787" s="164"/>
      <c r="M787" s="164"/>
      <c r="N787" s="164"/>
      <c r="O787" s="164"/>
      <c r="P787" s="164"/>
      <c r="Q787" s="164"/>
      <c r="R787" s="164"/>
      <c r="S787" s="164"/>
      <c r="T787" s="46"/>
      <c r="U787" s="46"/>
      <c r="V787" s="27"/>
    </row>
    <row r="788" spans="1:32" s="20" customFormat="1" ht="32.25" customHeight="1">
      <c r="A788" s="14"/>
      <c r="C788" s="313" t="s">
        <v>376</v>
      </c>
      <c r="D788" s="313"/>
      <c r="E788" s="313"/>
      <c r="F788" s="313"/>
      <c r="G788" s="313"/>
      <c r="H788" s="313"/>
      <c r="I788" s="313"/>
      <c r="J788" s="313"/>
      <c r="K788" s="313"/>
      <c r="L788" s="313"/>
      <c r="M788" s="313"/>
      <c r="N788" s="313"/>
      <c r="O788" s="313"/>
      <c r="P788" s="313"/>
      <c r="Q788" s="313"/>
      <c r="R788" s="313"/>
      <c r="S788" s="313"/>
      <c r="T788" s="313"/>
      <c r="U788" s="313"/>
      <c r="V788" s="27"/>
    </row>
    <row r="789" spans="1:32" s="20" customFormat="1" ht="34.5" customHeight="1">
      <c r="A789" s="14"/>
      <c r="C789" s="313" t="s">
        <v>377</v>
      </c>
      <c r="D789" s="313"/>
      <c r="E789" s="313"/>
      <c r="F789" s="313"/>
      <c r="G789" s="313"/>
      <c r="H789" s="313"/>
      <c r="I789" s="313"/>
      <c r="J789" s="313"/>
      <c r="K789" s="313"/>
      <c r="L789" s="313"/>
      <c r="M789" s="313"/>
      <c r="N789" s="313"/>
      <c r="O789" s="313"/>
      <c r="P789" s="313"/>
      <c r="Q789" s="313"/>
      <c r="R789" s="313"/>
      <c r="S789" s="313"/>
      <c r="T789" s="313"/>
      <c r="U789" s="313"/>
      <c r="V789" s="27"/>
    </row>
    <row r="790" spans="1:32" s="20" customFormat="1" ht="19.5" customHeight="1">
      <c r="A790" s="14"/>
      <c r="C790" s="676" t="s">
        <v>378</v>
      </c>
      <c r="D790" s="676"/>
      <c r="E790" s="676"/>
      <c r="F790" s="676"/>
      <c r="G790" s="676"/>
      <c r="H790" s="676"/>
      <c r="I790" s="676"/>
      <c r="J790" s="676"/>
      <c r="K790" s="676"/>
      <c r="L790" s="676"/>
      <c r="M790" s="676"/>
      <c r="N790" s="676"/>
      <c r="O790" s="676"/>
      <c r="P790" s="676"/>
      <c r="Q790" s="676"/>
      <c r="R790" s="676"/>
      <c r="S790" s="676"/>
      <c r="T790" s="676"/>
      <c r="U790" s="676"/>
      <c r="V790" s="27"/>
    </row>
    <row r="791" spans="1:32" s="20" customFormat="1" ht="66.75" customHeight="1">
      <c r="A791" s="14"/>
      <c r="C791" s="518"/>
      <c r="D791" s="313" t="str">
        <f>"Nilai Persediaan Bahan Pakai Habis sebesar Rp "&amp;FIXED(R801)&amp;" merupakan hasil pengadaan selama tahun anggaran "&amp;'[1]2.ISIAN DATA SKPD'!D11&amp;" yang sampai dengan tanggal 31 Desember "&amp;'[1]2.ISIAN DATA SKPD'!D11&amp;" belum terpakai habis dengan rincian sebagai berikut:"</f>
        <v>Nilai Persediaan Bahan Pakai Habis sebesar Rp 7,003,696.00 merupakan hasil pengadaan selama tahun anggaran 2017 yang sampai dengan tanggal 31 Desember 2017 belum terpakai habis dengan rincian sebagai berikut:</v>
      </c>
      <c r="E791" s="313"/>
      <c r="F791" s="313"/>
      <c r="G791" s="313"/>
      <c r="H791" s="313"/>
      <c r="I791" s="313"/>
      <c r="J791" s="313"/>
      <c r="K791" s="313"/>
      <c r="L791" s="313"/>
      <c r="M791" s="313"/>
      <c r="N791" s="313"/>
      <c r="O791" s="313"/>
      <c r="P791" s="313"/>
      <c r="Q791" s="313"/>
      <c r="R791" s="313"/>
      <c r="S791" s="313"/>
      <c r="T791" s="313"/>
      <c r="U791" s="313"/>
      <c r="V791" s="27"/>
    </row>
    <row r="792" spans="1:32" s="20" customFormat="1" ht="9.75" customHeight="1">
      <c r="A792" s="14"/>
      <c r="C792" s="518"/>
      <c r="D792" s="285"/>
      <c r="E792" s="285"/>
      <c r="F792" s="285"/>
      <c r="G792" s="285"/>
      <c r="H792" s="285"/>
      <c r="I792" s="285"/>
      <c r="J792" s="285"/>
      <c r="K792" s="285"/>
      <c r="L792" s="285"/>
      <c r="M792" s="285"/>
      <c r="N792" s="285"/>
      <c r="O792" s="285"/>
      <c r="P792" s="285"/>
      <c r="Q792" s="285"/>
      <c r="R792" s="285"/>
      <c r="S792" s="285"/>
      <c r="T792" s="285"/>
      <c r="U792" s="285"/>
      <c r="V792" s="27"/>
    </row>
    <row r="793" spans="1:32" s="20" customFormat="1" ht="19.5" customHeight="1">
      <c r="A793" s="14"/>
      <c r="B793" s="569" t="s">
        <v>311</v>
      </c>
      <c r="C793" s="570" t="s">
        <v>270</v>
      </c>
      <c r="D793" s="571"/>
      <c r="E793" s="572"/>
      <c r="F793" s="573" t="s">
        <v>312</v>
      </c>
      <c r="G793" s="457"/>
      <c r="H793" s="457"/>
      <c r="I793" s="458"/>
      <c r="J793" s="574" t="str">
        <f>J703</f>
        <v>MUTASI  TA 2017</v>
      </c>
      <c r="K793" s="575"/>
      <c r="L793" s="575"/>
      <c r="M793" s="575"/>
      <c r="N793" s="575"/>
      <c r="O793" s="575"/>
      <c r="P793" s="575"/>
      <c r="Q793" s="576"/>
      <c r="R793" s="573" t="s">
        <v>313</v>
      </c>
      <c r="S793" s="457"/>
      <c r="T793" s="457"/>
      <c r="U793" s="458"/>
      <c r="V793" s="27"/>
    </row>
    <row r="794" spans="1:32" s="20" customFormat="1" ht="21" customHeight="1">
      <c r="A794" s="14"/>
      <c r="B794" s="577"/>
      <c r="C794" s="578"/>
      <c r="D794" s="579"/>
      <c r="E794" s="580"/>
      <c r="F794" s="574">
        <f>F716</f>
        <v>2017</v>
      </c>
      <c r="G794" s="457"/>
      <c r="H794" s="457"/>
      <c r="I794" s="458"/>
      <c r="J794" s="573" t="s">
        <v>314</v>
      </c>
      <c r="K794" s="457"/>
      <c r="L794" s="457"/>
      <c r="M794" s="458"/>
      <c r="N794" s="573" t="s">
        <v>315</v>
      </c>
      <c r="O794" s="457"/>
      <c r="P794" s="457"/>
      <c r="Q794" s="458"/>
      <c r="R794" s="573">
        <f>R716</f>
        <v>2017</v>
      </c>
      <c r="S794" s="457"/>
      <c r="T794" s="457"/>
      <c r="U794" s="458"/>
      <c r="V794" s="27"/>
    </row>
    <row r="795" spans="1:32" s="20" customFormat="1" ht="11.25" customHeight="1">
      <c r="A795" s="14"/>
      <c r="B795" s="581">
        <v>1</v>
      </c>
      <c r="C795" s="677" t="s">
        <v>379</v>
      </c>
      <c r="D795" s="678"/>
      <c r="E795" s="679"/>
      <c r="F795" s="585">
        <v>9711600</v>
      </c>
      <c r="G795" s="586"/>
      <c r="H795" s="586" t="s">
        <v>317</v>
      </c>
      <c r="I795" s="586"/>
      <c r="J795" s="585">
        <f>53863675+17477225+5202000</f>
        <v>76542900</v>
      </c>
      <c r="K795" s="586" t="s">
        <v>318</v>
      </c>
      <c r="L795" s="586"/>
      <c r="M795" s="586"/>
      <c r="N795" s="585">
        <f>F795+70844200</f>
        <v>80555800</v>
      </c>
      <c r="O795" s="586" t="s">
        <v>318</v>
      </c>
      <c r="P795" s="586"/>
      <c r="Q795" s="586"/>
      <c r="R795" s="585">
        <f t="shared" ref="R795:R800" si="23">F795+J795-N795</f>
        <v>5698700</v>
      </c>
      <c r="S795" s="586"/>
      <c r="T795" s="586" t="s">
        <v>319</v>
      </c>
      <c r="U795" s="604"/>
      <c r="V795" s="27"/>
    </row>
    <row r="796" spans="1:32" s="20" customFormat="1" ht="27" customHeight="1">
      <c r="A796" s="14"/>
      <c r="B796" s="581">
        <v>2</v>
      </c>
      <c r="C796" s="677" t="s">
        <v>380</v>
      </c>
      <c r="D796" s="678"/>
      <c r="E796" s="679"/>
      <c r="F796" s="585">
        <v>0</v>
      </c>
      <c r="G796" s="586"/>
      <c r="H796" s="586"/>
      <c r="I796" s="586"/>
      <c r="J796" s="585">
        <v>0</v>
      </c>
      <c r="K796" s="586"/>
      <c r="L796" s="586"/>
      <c r="M796" s="586"/>
      <c r="N796" s="585">
        <v>0</v>
      </c>
      <c r="O796" s="586"/>
      <c r="P796" s="586"/>
      <c r="Q796" s="586"/>
      <c r="R796" s="585">
        <f t="shared" si="23"/>
        <v>0</v>
      </c>
      <c r="S796" s="586"/>
      <c r="T796" s="586" t="s">
        <v>323</v>
      </c>
      <c r="U796" s="604"/>
      <c r="V796" s="27"/>
    </row>
    <row r="797" spans="1:32" s="20" customFormat="1" ht="22.5" customHeight="1">
      <c r="A797" s="14"/>
      <c r="B797" s="581">
        <v>3</v>
      </c>
      <c r="C797" s="677" t="s">
        <v>381</v>
      </c>
      <c r="D797" s="678"/>
      <c r="E797" s="679"/>
      <c r="F797" s="585">
        <v>3247250</v>
      </c>
      <c r="G797" s="586"/>
      <c r="H797" s="586"/>
      <c r="I797" s="586"/>
      <c r="J797" s="585">
        <v>161954194</v>
      </c>
      <c r="K797" s="586"/>
      <c r="L797" s="586"/>
      <c r="M797" s="586"/>
      <c r="N797" s="585">
        <f>F797+160649198</f>
        <v>163896448</v>
      </c>
      <c r="O797" s="586"/>
      <c r="P797" s="586"/>
      <c r="Q797" s="586"/>
      <c r="R797" s="585">
        <f t="shared" si="23"/>
        <v>1304996</v>
      </c>
      <c r="S797" s="586"/>
      <c r="T797" s="586"/>
      <c r="U797" s="604"/>
      <c r="V797" s="27"/>
    </row>
    <row r="798" spans="1:32" s="20" customFormat="1" ht="27" customHeight="1">
      <c r="A798" s="14"/>
      <c r="B798" s="581">
        <v>4</v>
      </c>
      <c r="C798" s="677" t="s">
        <v>382</v>
      </c>
      <c r="D798" s="678"/>
      <c r="E798" s="679"/>
      <c r="F798" s="585">
        <v>0</v>
      </c>
      <c r="G798" s="586"/>
      <c r="H798" s="586"/>
      <c r="I798" s="586"/>
      <c r="J798" s="585">
        <v>0</v>
      </c>
      <c r="K798" s="586"/>
      <c r="L798" s="586"/>
      <c r="M798" s="586"/>
      <c r="N798" s="585">
        <v>0</v>
      </c>
      <c r="O798" s="586"/>
      <c r="P798" s="586"/>
      <c r="Q798" s="586"/>
      <c r="R798" s="585">
        <f t="shared" si="23"/>
        <v>0</v>
      </c>
      <c r="S798" s="586"/>
      <c r="T798" s="586"/>
      <c r="U798" s="604"/>
      <c r="V798" s="27"/>
    </row>
    <row r="799" spans="1:32" s="20" customFormat="1" ht="22.5" customHeight="1">
      <c r="A799" s="14"/>
      <c r="B799" s="581">
        <v>5</v>
      </c>
      <c r="C799" s="677" t="s">
        <v>383</v>
      </c>
      <c r="D799" s="678"/>
      <c r="E799" s="679"/>
      <c r="F799" s="585">
        <v>0</v>
      </c>
      <c r="G799" s="586"/>
      <c r="H799" s="586"/>
      <c r="I799" s="586"/>
      <c r="J799" s="585">
        <v>0</v>
      </c>
      <c r="K799" s="586"/>
      <c r="L799" s="586"/>
      <c r="M799" s="586"/>
      <c r="N799" s="585">
        <v>0</v>
      </c>
      <c r="O799" s="586"/>
      <c r="P799" s="586"/>
      <c r="Q799" s="586"/>
      <c r="R799" s="585">
        <f t="shared" si="23"/>
        <v>0</v>
      </c>
      <c r="S799" s="586"/>
      <c r="T799" s="586" t="s">
        <v>331</v>
      </c>
      <c r="U799" s="604"/>
      <c r="V799" s="27"/>
    </row>
    <row r="800" spans="1:32" s="20" customFormat="1" ht="23.25" customHeight="1">
      <c r="A800" s="14"/>
      <c r="B800" s="581">
        <v>6</v>
      </c>
      <c r="C800" s="677" t="s">
        <v>384</v>
      </c>
      <c r="D800" s="678"/>
      <c r="E800" s="679"/>
      <c r="F800" s="585">
        <v>0</v>
      </c>
      <c r="G800" s="586"/>
      <c r="H800" s="586"/>
      <c r="I800" s="586"/>
      <c r="J800" s="585">
        <v>0</v>
      </c>
      <c r="K800" s="586"/>
      <c r="L800" s="586"/>
      <c r="M800" s="586"/>
      <c r="N800" s="585">
        <v>0</v>
      </c>
      <c r="O800" s="586"/>
      <c r="P800" s="586"/>
      <c r="Q800" s="586"/>
      <c r="R800" s="585">
        <f t="shared" si="23"/>
        <v>0</v>
      </c>
      <c r="S800" s="586"/>
      <c r="T800" s="586" t="s">
        <v>334</v>
      </c>
      <c r="U800" s="604"/>
      <c r="V800" s="27"/>
    </row>
    <row r="801" spans="1:32" s="20" customFormat="1" ht="24.75" customHeight="1">
      <c r="A801" s="14"/>
      <c r="B801" s="680"/>
      <c r="C801" s="618" t="s">
        <v>143</v>
      </c>
      <c r="D801" s="619"/>
      <c r="E801" s="620"/>
      <c r="F801" s="456">
        <f>SUM(F795:I800)</f>
        <v>12958850</v>
      </c>
      <c r="G801" s="482"/>
      <c r="H801" s="482" t="s">
        <v>333</v>
      </c>
      <c r="I801" s="482"/>
      <c r="J801" s="476">
        <f>SUM(J795:M800)</f>
        <v>238497094</v>
      </c>
      <c r="K801" s="477"/>
      <c r="L801" s="477"/>
      <c r="M801" s="477"/>
      <c r="N801" s="476">
        <f>SUM(N795:Q800)</f>
        <v>244452248</v>
      </c>
      <c r="O801" s="477"/>
      <c r="P801" s="477" t="s">
        <v>343</v>
      </c>
      <c r="Q801" s="477"/>
      <c r="R801" s="456">
        <f>SUM(R795:U800)</f>
        <v>7003696</v>
      </c>
      <c r="S801" s="482"/>
      <c r="T801" s="482" t="s">
        <v>344</v>
      </c>
      <c r="U801" s="606"/>
      <c r="V801" s="27"/>
    </row>
    <row r="802" spans="1:32" s="20" customFormat="1" ht="22.5" customHeight="1">
      <c r="A802" s="14"/>
      <c r="B802" s="46"/>
      <c r="C802" s="46"/>
      <c r="D802" s="46"/>
      <c r="E802" s="46"/>
      <c r="F802" s="46"/>
      <c r="G802" s="46"/>
      <c r="H802" s="46"/>
      <c r="I802" s="46"/>
      <c r="J802" s="46"/>
      <c r="K802" s="46"/>
      <c r="L802" s="46"/>
      <c r="M802" s="46"/>
      <c r="N802" s="46"/>
      <c r="O802" s="46"/>
      <c r="P802" s="46"/>
      <c r="Q802" s="46"/>
      <c r="R802" s="46"/>
      <c r="S802" s="46"/>
      <c r="T802" s="46"/>
      <c r="U802" s="46"/>
      <c r="V802" s="27"/>
    </row>
    <row r="803" spans="1:32" s="20" customFormat="1" ht="24.75" customHeight="1">
      <c r="A803" s="14"/>
      <c r="C803" s="491" t="s">
        <v>385</v>
      </c>
      <c r="D803" s="491"/>
      <c r="E803" s="491"/>
      <c r="F803" s="491"/>
      <c r="G803" s="491"/>
      <c r="H803" s="491"/>
      <c r="I803" s="491"/>
      <c r="J803" s="491"/>
      <c r="K803" s="491"/>
      <c r="L803" s="491"/>
      <c r="M803" s="491"/>
      <c r="N803" s="491"/>
      <c r="O803" s="491"/>
      <c r="P803" s="491"/>
      <c r="Q803" s="491"/>
      <c r="R803" s="491"/>
      <c r="S803" s="491"/>
      <c r="T803" s="491"/>
      <c r="U803" s="491"/>
      <c r="V803" s="27"/>
    </row>
    <row r="804" spans="1:32" s="20" customFormat="1" ht="63.75" customHeight="1">
      <c r="A804" s="14"/>
      <c r="C804" s="518"/>
      <c r="D804" s="313" t="str">
        <f>"Nilai Persediaan Bahan/Material sebesar Rp "&amp;FIXED(R812)&amp;" merupakan hasil pengadaan selama tahun anggaran "&amp;'[1]2.ISIAN DATA SKPD'!D11&amp;" yang sampai dengan tanggal 31 Desember "&amp;'[1]2.ISIAN DATA SKPD'!D11&amp;" belum terpakai habis dengan rincian sebagai berikut:"</f>
        <v>Nilai Persediaan Bahan/Material sebesar Rp 37,706,850.00 merupakan hasil pengadaan selama tahun anggaran 2017 yang sampai dengan tanggal 31 Desember 2017 belum terpakai habis dengan rincian sebagai berikut:</v>
      </c>
      <c r="E804" s="313"/>
      <c r="F804" s="313"/>
      <c r="G804" s="313"/>
      <c r="H804" s="313"/>
      <c r="I804" s="313"/>
      <c r="J804" s="313"/>
      <c r="K804" s="313"/>
      <c r="L804" s="313"/>
      <c r="M804" s="313"/>
      <c r="N804" s="313"/>
      <c r="O804" s="313"/>
      <c r="P804" s="313"/>
      <c r="Q804" s="313"/>
      <c r="R804" s="313"/>
      <c r="S804" s="313"/>
      <c r="T804" s="313"/>
      <c r="U804" s="313"/>
      <c r="V804" s="27"/>
    </row>
    <row r="805" spans="1:32" s="20" customFormat="1" ht="13.5" customHeight="1">
      <c r="A805" s="14"/>
      <c r="C805" s="518"/>
      <c r="D805" s="285"/>
      <c r="E805" s="285"/>
      <c r="F805" s="285"/>
      <c r="G805" s="285"/>
      <c r="H805" s="285"/>
      <c r="I805" s="285"/>
      <c r="J805" s="285"/>
      <c r="K805" s="285"/>
      <c r="L805" s="285"/>
      <c r="M805" s="285"/>
      <c r="N805" s="285"/>
      <c r="O805" s="285"/>
      <c r="P805" s="285"/>
      <c r="Q805" s="285"/>
      <c r="R805" s="285"/>
      <c r="S805" s="285"/>
      <c r="T805" s="285"/>
      <c r="U805" s="285"/>
      <c r="V805" s="27"/>
    </row>
    <row r="806" spans="1:32" s="20" customFormat="1" ht="19.5" customHeight="1">
      <c r="A806" s="14"/>
      <c r="B806" s="569" t="s">
        <v>311</v>
      </c>
      <c r="C806" s="570" t="s">
        <v>270</v>
      </c>
      <c r="D806" s="571"/>
      <c r="E806" s="572"/>
      <c r="F806" s="573" t="s">
        <v>312</v>
      </c>
      <c r="G806" s="457"/>
      <c r="H806" s="457"/>
      <c r="I806" s="458"/>
      <c r="J806" s="574" t="str">
        <f>J793</f>
        <v>MUTASI  TA 2017</v>
      </c>
      <c r="K806" s="575"/>
      <c r="L806" s="575"/>
      <c r="M806" s="575"/>
      <c r="N806" s="575"/>
      <c r="O806" s="575"/>
      <c r="P806" s="575"/>
      <c r="Q806" s="576"/>
      <c r="R806" s="573" t="s">
        <v>313</v>
      </c>
      <c r="S806" s="457"/>
      <c r="T806" s="457"/>
      <c r="U806" s="458"/>
      <c r="V806" s="27"/>
    </row>
    <row r="807" spans="1:32" s="20" customFormat="1" ht="26.25" customHeight="1">
      <c r="A807" s="14"/>
      <c r="B807" s="577"/>
      <c r="C807" s="578"/>
      <c r="D807" s="579"/>
      <c r="E807" s="580"/>
      <c r="F807" s="574">
        <f>F794</f>
        <v>2017</v>
      </c>
      <c r="G807" s="457"/>
      <c r="H807" s="457"/>
      <c r="I807" s="458"/>
      <c r="J807" s="573" t="s">
        <v>314</v>
      </c>
      <c r="K807" s="457"/>
      <c r="L807" s="457"/>
      <c r="M807" s="458"/>
      <c r="N807" s="573" t="s">
        <v>315</v>
      </c>
      <c r="O807" s="457"/>
      <c r="P807" s="457"/>
      <c r="Q807" s="458"/>
      <c r="R807" s="573">
        <f>R794</f>
        <v>2017</v>
      </c>
      <c r="S807" s="457"/>
      <c r="T807" s="457"/>
      <c r="U807" s="458"/>
      <c r="V807" s="681"/>
      <c r="W807" s="681"/>
      <c r="X807" s="681"/>
      <c r="Y807" s="682"/>
      <c r="Z807" s="464"/>
      <c r="AA807" s="464"/>
      <c r="AB807" s="464"/>
      <c r="AC807" s="682"/>
      <c r="AD807" s="682"/>
      <c r="AE807" s="682"/>
      <c r="AF807" s="682"/>
    </row>
    <row r="808" spans="1:32" s="20" customFormat="1" ht="26.25" customHeight="1">
      <c r="A808" s="14"/>
      <c r="B808" s="581">
        <v>1</v>
      </c>
      <c r="C808" s="683" t="s">
        <v>386</v>
      </c>
      <c r="D808" s="684"/>
      <c r="E808" s="685"/>
      <c r="F808" s="686">
        <v>0</v>
      </c>
      <c r="G808" s="687"/>
      <c r="H808" s="687" t="s">
        <v>317</v>
      </c>
      <c r="I808" s="687"/>
      <c r="J808" s="686">
        <v>0</v>
      </c>
      <c r="K808" s="687" t="s">
        <v>318</v>
      </c>
      <c r="L808" s="687"/>
      <c r="M808" s="687"/>
      <c r="N808" s="686">
        <v>0</v>
      </c>
      <c r="O808" s="687" t="s">
        <v>318</v>
      </c>
      <c r="P808" s="687"/>
      <c r="Q808" s="687"/>
      <c r="R808" s="686">
        <f>F808+J808-N808</f>
        <v>0</v>
      </c>
      <c r="S808" s="687"/>
      <c r="T808" s="687" t="s">
        <v>319</v>
      </c>
      <c r="U808" s="688"/>
      <c r="V808" s="462"/>
      <c r="W808" s="462"/>
      <c r="X808" s="462"/>
      <c r="Y808" s="463"/>
      <c r="Z808" s="464"/>
      <c r="AA808" s="464"/>
      <c r="AB808" s="464"/>
      <c r="AC808" s="463"/>
      <c r="AD808" s="463"/>
      <c r="AE808" s="463"/>
      <c r="AF808" s="463"/>
    </row>
    <row r="809" spans="1:32" s="20" customFormat="1" ht="24.75" customHeight="1">
      <c r="A809" s="14"/>
      <c r="B809" s="581">
        <v>2</v>
      </c>
      <c r="C809" s="683" t="s">
        <v>387</v>
      </c>
      <c r="D809" s="684"/>
      <c r="E809" s="685"/>
      <c r="F809" s="689">
        <v>28549453</v>
      </c>
      <c r="G809" s="690"/>
      <c r="H809" s="690"/>
      <c r="I809" s="690"/>
      <c r="J809" s="689">
        <v>3343614085</v>
      </c>
      <c r="K809" s="690"/>
      <c r="L809" s="690"/>
      <c r="M809" s="690"/>
      <c r="N809" s="689">
        <v>3334456688</v>
      </c>
      <c r="O809" s="690"/>
      <c r="P809" s="690"/>
      <c r="Q809" s="690"/>
      <c r="R809" s="686">
        <f>F809+J809-N809</f>
        <v>37706850</v>
      </c>
      <c r="S809" s="687"/>
      <c r="T809" s="687" t="s">
        <v>323</v>
      </c>
      <c r="U809" s="688"/>
      <c r="V809" s="462"/>
      <c r="W809" s="462"/>
      <c r="X809" s="462"/>
      <c r="Y809" s="463"/>
      <c r="Z809" s="464"/>
      <c r="AA809" s="464"/>
      <c r="AB809" s="464"/>
      <c r="AC809" s="463"/>
      <c r="AD809" s="463"/>
      <c r="AE809" s="463"/>
      <c r="AF809" s="463"/>
    </row>
    <row r="810" spans="1:32" s="20" customFormat="1" ht="24.75" customHeight="1">
      <c r="A810" s="14"/>
      <c r="B810" s="581">
        <v>3</v>
      </c>
      <c r="C810" s="683" t="s">
        <v>388</v>
      </c>
      <c r="D810" s="684"/>
      <c r="E810" s="685"/>
      <c r="F810" s="686">
        <v>0</v>
      </c>
      <c r="G810" s="687"/>
      <c r="H810" s="687" t="s">
        <v>389</v>
      </c>
      <c r="I810" s="687"/>
      <c r="J810" s="686">
        <v>0</v>
      </c>
      <c r="K810" s="687" t="s">
        <v>390</v>
      </c>
      <c r="L810" s="687"/>
      <c r="M810" s="687"/>
      <c r="N810" s="686">
        <v>0</v>
      </c>
      <c r="O810" s="687" t="s">
        <v>390</v>
      </c>
      <c r="P810" s="687"/>
      <c r="Q810" s="687"/>
      <c r="R810" s="686">
        <f>F810+J810-N810</f>
        <v>0</v>
      </c>
      <c r="S810" s="687"/>
      <c r="T810" s="687" t="s">
        <v>326</v>
      </c>
      <c r="U810" s="688"/>
      <c r="V810" s="462"/>
      <c r="W810" s="462"/>
      <c r="X810" s="462"/>
      <c r="Y810" s="691"/>
      <c r="Z810" s="692"/>
      <c r="AA810" s="692"/>
      <c r="AB810" s="692"/>
      <c r="AC810" s="463"/>
      <c r="AD810" s="463"/>
      <c r="AE810" s="463"/>
      <c r="AF810" s="463"/>
    </row>
    <row r="811" spans="1:32" s="20" customFormat="1" ht="27" customHeight="1">
      <c r="A811" s="14"/>
      <c r="B811" s="581">
        <v>4</v>
      </c>
      <c r="C811" s="683" t="s">
        <v>391</v>
      </c>
      <c r="D811" s="684"/>
      <c r="E811" s="685"/>
      <c r="F811" s="686">
        <v>0</v>
      </c>
      <c r="G811" s="687"/>
      <c r="H811" s="687" t="s">
        <v>392</v>
      </c>
      <c r="I811" s="687"/>
      <c r="J811" s="686">
        <v>0</v>
      </c>
      <c r="K811" s="687" t="s">
        <v>393</v>
      </c>
      <c r="L811" s="687"/>
      <c r="M811" s="687"/>
      <c r="N811" s="686">
        <v>0</v>
      </c>
      <c r="O811" s="687" t="s">
        <v>393</v>
      </c>
      <c r="P811" s="687"/>
      <c r="Q811" s="687"/>
      <c r="R811" s="686">
        <f>F811+J811-N811</f>
        <v>0</v>
      </c>
      <c r="S811" s="687"/>
      <c r="T811" s="687" t="s">
        <v>329</v>
      </c>
      <c r="U811" s="688"/>
      <c r="V811" s="462"/>
      <c r="W811" s="462"/>
      <c r="X811" s="462"/>
      <c r="Y811" s="463"/>
      <c r="Z811" s="464"/>
      <c r="AA811" s="464"/>
      <c r="AB811" s="464"/>
      <c r="AC811" s="463"/>
      <c r="AD811" s="463"/>
      <c r="AE811" s="463"/>
      <c r="AF811" s="463"/>
    </row>
    <row r="812" spans="1:32" s="20" customFormat="1" ht="22.5" customHeight="1">
      <c r="A812" s="14"/>
      <c r="B812" s="605"/>
      <c r="C812" s="618" t="s">
        <v>143</v>
      </c>
      <c r="D812" s="619"/>
      <c r="E812" s="620"/>
      <c r="F812" s="693">
        <f>SUM(F808:I811)</f>
        <v>28549453</v>
      </c>
      <c r="G812" s="694"/>
      <c r="H812" s="694" t="s">
        <v>333</v>
      </c>
      <c r="I812" s="694"/>
      <c r="J812" s="695">
        <f>SUM(J808:M811)</f>
        <v>3343614085</v>
      </c>
      <c r="K812" s="696"/>
      <c r="L812" s="696" t="s">
        <v>336</v>
      </c>
      <c r="M812" s="696"/>
      <c r="N812" s="695">
        <f>SUM(N808:Q811)</f>
        <v>3334456688</v>
      </c>
      <c r="O812" s="696"/>
      <c r="P812" s="696" t="s">
        <v>343</v>
      </c>
      <c r="Q812" s="696"/>
      <c r="R812" s="693">
        <f>SUM(R808:U811)</f>
        <v>37706850</v>
      </c>
      <c r="S812" s="694"/>
      <c r="T812" s="694" t="s">
        <v>344</v>
      </c>
      <c r="U812" s="697"/>
      <c r="V812" s="462"/>
      <c r="W812" s="462"/>
      <c r="X812" s="462"/>
      <c r="Y812" s="463"/>
      <c r="Z812" s="464"/>
      <c r="AA812" s="464"/>
      <c r="AB812" s="464"/>
      <c r="AC812" s="463"/>
      <c r="AD812" s="463"/>
      <c r="AE812" s="463"/>
      <c r="AF812" s="463"/>
    </row>
    <row r="813" spans="1:32" s="20" customFormat="1" ht="18.75" customHeight="1">
      <c r="A813" s="14"/>
      <c r="B813" s="164"/>
      <c r="C813" s="164"/>
      <c r="D813" s="164"/>
      <c r="E813" s="164"/>
      <c r="F813" s="164"/>
      <c r="G813" s="164"/>
      <c r="H813" s="164"/>
      <c r="I813" s="164"/>
      <c r="J813" s="164"/>
      <c r="K813" s="164"/>
      <c r="L813" s="164"/>
      <c r="M813" s="164"/>
      <c r="N813" s="164"/>
      <c r="O813" s="164"/>
      <c r="P813" s="164"/>
      <c r="Q813" s="164"/>
      <c r="R813" s="164"/>
      <c r="S813" s="164"/>
      <c r="T813" s="46"/>
      <c r="U813" s="46"/>
      <c r="V813" s="27"/>
    </row>
    <row r="814" spans="1:32" s="20" customFormat="1" ht="18.75" customHeight="1">
      <c r="A814" s="14"/>
      <c r="B814" s="164"/>
      <c r="C814" s="698" t="s">
        <v>394</v>
      </c>
      <c r="D814" s="698"/>
      <c r="E814" s="698"/>
      <c r="F814" s="698"/>
      <c r="G814" s="698"/>
      <c r="H814" s="698"/>
      <c r="I814" s="698"/>
      <c r="J814" s="698"/>
      <c r="K814" s="698"/>
      <c r="L814" s="698"/>
      <c r="M814" s="698"/>
      <c r="N814" s="698"/>
      <c r="O814" s="698"/>
      <c r="P814" s="698"/>
      <c r="Q814" s="698"/>
      <c r="R814" s="698"/>
      <c r="S814" s="698"/>
      <c r="T814" s="698"/>
      <c r="U814" s="698"/>
      <c r="V814" s="27"/>
    </row>
    <row r="815" spans="1:32" s="20" customFormat="1" ht="66" customHeight="1">
      <c r="A815" s="14"/>
      <c r="B815" s="164"/>
      <c r="C815" s="164"/>
      <c r="D815" s="313" t="str">
        <f>"Nilai Persediaan Barang Lainnya sebesar Rp "&amp;FIXED(R821)&amp;" merupakan hasil pengadaan selama tahun anggaran "&amp;'[1]2.ISIAN DATA SKPD'!D11&amp;" yang sampai dengan tanggal 31 Desember "&amp;'[1]2.ISIAN DATA SKPD'!D11&amp;" belum terpakai habis dengan rincian sebagai berikut:"</f>
        <v>Nilai Persediaan Barang Lainnya sebesar Rp 2,107,906,000.00 merupakan hasil pengadaan selama tahun anggaran 2017 yang sampai dengan tanggal 31 Desember 2017 belum terpakai habis dengan rincian sebagai berikut:</v>
      </c>
      <c r="E815" s="313"/>
      <c r="F815" s="313"/>
      <c r="G815" s="313"/>
      <c r="H815" s="313"/>
      <c r="I815" s="313"/>
      <c r="J815" s="313"/>
      <c r="K815" s="313"/>
      <c r="L815" s="313"/>
      <c r="M815" s="313"/>
      <c r="N815" s="313"/>
      <c r="O815" s="313"/>
      <c r="P815" s="313"/>
      <c r="Q815" s="313"/>
      <c r="R815" s="313"/>
      <c r="S815" s="313"/>
      <c r="T815" s="313"/>
      <c r="U815" s="313"/>
      <c r="V815" s="27"/>
    </row>
    <row r="816" spans="1:32" s="20" customFormat="1" ht="14.25" customHeight="1">
      <c r="A816" s="14"/>
      <c r="B816" s="164"/>
      <c r="C816" s="164"/>
      <c r="D816" s="285"/>
      <c r="E816" s="285"/>
      <c r="F816" s="285"/>
      <c r="G816" s="285"/>
      <c r="H816" s="285"/>
      <c r="I816" s="285"/>
      <c r="J816" s="285"/>
      <c r="K816" s="285"/>
      <c r="L816" s="285"/>
      <c r="M816" s="285"/>
      <c r="N816" s="285"/>
      <c r="O816" s="285"/>
      <c r="P816" s="285"/>
      <c r="Q816" s="285"/>
      <c r="R816" s="285"/>
      <c r="S816" s="285"/>
      <c r="T816" s="285"/>
      <c r="U816" s="285"/>
      <c r="V816" s="27"/>
    </row>
    <row r="817" spans="1:32" s="20" customFormat="1" ht="14.25" customHeight="1">
      <c r="A817" s="14"/>
      <c r="B817" s="569" t="s">
        <v>311</v>
      </c>
      <c r="C817" s="570" t="s">
        <v>270</v>
      </c>
      <c r="D817" s="571"/>
      <c r="E817" s="572"/>
      <c r="F817" s="573" t="s">
        <v>312</v>
      </c>
      <c r="G817" s="457"/>
      <c r="H817" s="457"/>
      <c r="I817" s="458"/>
      <c r="J817" s="574" t="str">
        <f>J806</f>
        <v>MUTASI  TA 2017</v>
      </c>
      <c r="K817" s="575"/>
      <c r="L817" s="575"/>
      <c r="M817" s="575"/>
      <c r="N817" s="575"/>
      <c r="O817" s="575"/>
      <c r="P817" s="575"/>
      <c r="Q817" s="576"/>
      <c r="R817" s="573" t="s">
        <v>313</v>
      </c>
      <c r="S817" s="457"/>
      <c r="T817" s="457"/>
      <c r="U817" s="458"/>
      <c r="V817" s="27"/>
    </row>
    <row r="818" spans="1:32" s="20" customFormat="1" ht="25.5" customHeight="1">
      <c r="A818" s="14"/>
      <c r="B818" s="577"/>
      <c r="C818" s="578"/>
      <c r="D818" s="579"/>
      <c r="E818" s="580"/>
      <c r="F818" s="574">
        <f>F807</f>
        <v>2017</v>
      </c>
      <c r="G818" s="457"/>
      <c r="H818" s="457"/>
      <c r="I818" s="458"/>
      <c r="J818" s="573" t="s">
        <v>314</v>
      </c>
      <c r="K818" s="457"/>
      <c r="L818" s="457"/>
      <c r="M818" s="458"/>
      <c r="N818" s="573" t="s">
        <v>315</v>
      </c>
      <c r="O818" s="457"/>
      <c r="P818" s="457"/>
      <c r="Q818" s="458"/>
      <c r="R818" s="573">
        <f>R807</f>
        <v>2017</v>
      </c>
      <c r="S818" s="457"/>
      <c r="T818" s="457"/>
      <c r="U818" s="458"/>
      <c r="V818" s="27"/>
    </row>
    <row r="819" spans="1:32" s="20" customFormat="1" ht="49.5" customHeight="1">
      <c r="A819" s="14"/>
      <c r="B819" s="581">
        <v>1</v>
      </c>
      <c r="C819" s="683" t="s">
        <v>395</v>
      </c>
      <c r="D819" s="684"/>
      <c r="E819" s="685"/>
      <c r="F819" s="686">
        <v>0</v>
      </c>
      <c r="G819" s="687"/>
      <c r="H819" s="687" t="s">
        <v>317</v>
      </c>
      <c r="I819" s="687"/>
      <c r="J819" s="689">
        <v>2107906000</v>
      </c>
      <c r="K819" s="690" t="s">
        <v>318</v>
      </c>
      <c r="L819" s="690"/>
      <c r="M819" s="690"/>
      <c r="N819" s="686">
        <v>0</v>
      </c>
      <c r="O819" s="687" t="s">
        <v>318</v>
      </c>
      <c r="P819" s="687"/>
      <c r="Q819" s="687"/>
      <c r="R819" s="686">
        <f>F819+J819-N819</f>
        <v>2107906000</v>
      </c>
      <c r="S819" s="687"/>
      <c r="T819" s="687" t="s">
        <v>319</v>
      </c>
      <c r="U819" s="687"/>
      <c r="V819" s="27"/>
      <c r="AD819" s="699">
        <f>+Y819+Z819-AA819+AB819-AC819</f>
        <v>0</v>
      </c>
    </row>
    <row r="820" spans="1:32" s="20" customFormat="1" ht="15.75" customHeight="1">
      <c r="A820" s="14"/>
      <c r="B820" s="581">
        <v>2</v>
      </c>
      <c r="C820" s="683" t="s">
        <v>396</v>
      </c>
      <c r="D820" s="684"/>
      <c r="E820" s="685"/>
      <c r="F820" s="686">
        <v>0</v>
      </c>
      <c r="G820" s="687"/>
      <c r="H820" s="687" t="s">
        <v>397</v>
      </c>
      <c r="I820" s="687"/>
      <c r="J820" s="686">
        <v>0</v>
      </c>
      <c r="K820" s="687" t="s">
        <v>398</v>
      </c>
      <c r="L820" s="687"/>
      <c r="M820" s="687"/>
      <c r="N820" s="686">
        <v>0</v>
      </c>
      <c r="O820" s="687" t="s">
        <v>398</v>
      </c>
      <c r="P820" s="687"/>
      <c r="Q820" s="687"/>
      <c r="R820" s="686">
        <f>F820+J820-N820</f>
        <v>0</v>
      </c>
      <c r="S820" s="687"/>
      <c r="T820" s="687" t="s">
        <v>323</v>
      </c>
      <c r="U820" s="687"/>
      <c r="V820" s="27"/>
    </row>
    <row r="821" spans="1:32" s="20" customFormat="1" ht="32.25" customHeight="1">
      <c r="A821" s="14"/>
      <c r="B821" s="700"/>
      <c r="C821" s="701" t="s">
        <v>143</v>
      </c>
      <c r="D821" s="702"/>
      <c r="E821" s="703"/>
      <c r="F821" s="693">
        <f>SUM(F819:I820)</f>
        <v>0</v>
      </c>
      <c r="G821" s="694"/>
      <c r="H821" s="694" t="s">
        <v>389</v>
      </c>
      <c r="I821" s="694"/>
      <c r="J821" s="695">
        <f>SUM(J819:M820)</f>
        <v>2107906000</v>
      </c>
      <c r="K821" s="696"/>
      <c r="L821" s="696" t="s">
        <v>389</v>
      </c>
      <c r="M821" s="696"/>
      <c r="N821" s="695">
        <f>SUM(N819:Q820)</f>
        <v>0</v>
      </c>
      <c r="O821" s="696"/>
      <c r="P821" s="696" t="s">
        <v>389</v>
      </c>
      <c r="Q821" s="696"/>
      <c r="R821" s="704">
        <f>SUM(R819:U820)</f>
        <v>2107906000</v>
      </c>
      <c r="S821" s="705"/>
      <c r="T821" s="705" t="s">
        <v>389</v>
      </c>
      <c r="U821" s="705"/>
      <c r="V821" s="27"/>
    </row>
    <row r="822" spans="1:32" s="20" customFormat="1" ht="16.5" customHeight="1">
      <c r="A822" s="14"/>
      <c r="B822" s="164"/>
      <c r="C822" s="164"/>
      <c r="D822" s="164"/>
      <c r="E822" s="164"/>
      <c r="F822" s="164"/>
      <c r="G822" s="164"/>
      <c r="H822" s="164"/>
      <c r="I822" s="164"/>
      <c r="J822" s="164"/>
      <c r="K822" s="164"/>
      <c r="L822" s="164"/>
      <c r="M822" s="164"/>
      <c r="N822" s="164"/>
      <c r="O822" s="164"/>
      <c r="P822" s="164"/>
      <c r="Q822" s="164"/>
      <c r="R822" s="164"/>
      <c r="S822" s="164"/>
      <c r="T822" s="46"/>
      <c r="U822" s="46"/>
      <c r="V822" s="27"/>
    </row>
    <row r="823" spans="1:32" s="20" customFormat="1" ht="14.25" customHeight="1">
      <c r="A823" s="14"/>
      <c r="B823" s="706" t="s">
        <v>399</v>
      </c>
      <c r="C823" s="46"/>
      <c r="D823" s="46"/>
      <c r="E823" s="46"/>
      <c r="F823" s="46"/>
      <c r="G823" s="46"/>
      <c r="H823" s="46"/>
      <c r="I823" s="46"/>
      <c r="J823" s="46"/>
      <c r="K823" s="46"/>
      <c r="L823" s="46"/>
      <c r="M823" s="46"/>
      <c r="N823" s="46"/>
      <c r="O823" s="46"/>
      <c r="P823" s="46"/>
      <c r="Q823" s="46"/>
      <c r="R823" s="46"/>
      <c r="S823" s="46"/>
      <c r="T823" s="46"/>
      <c r="U823" s="46"/>
      <c r="V823" s="27"/>
    </row>
    <row r="824" spans="1:32" s="20" customFormat="1" ht="33" customHeight="1">
      <c r="A824" s="14"/>
      <c r="B824" s="46"/>
      <c r="C824" s="707" t="s">
        <v>400</v>
      </c>
      <c r="D824" s="707"/>
      <c r="E824" s="707"/>
      <c r="F824" s="707"/>
      <c r="G824" s="707"/>
      <c r="H824" s="707"/>
      <c r="I824" s="707"/>
      <c r="J824" s="707"/>
      <c r="K824" s="707"/>
      <c r="L824" s="707"/>
      <c r="M824" s="707"/>
      <c r="N824" s="707"/>
      <c r="O824" s="707"/>
      <c r="P824" s="707"/>
      <c r="Q824" s="707"/>
      <c r="R824" s="707"/>
      <c r="S824" s="707"/>
      <c r="T824" s="707"/>
      <c r="U824" s="707"/>
      <c r="V824" s="27"/>
    </row>
    <row r="825" spans="1:32" s="20" customFormat="1" ht="14.25" customHeight="1">
      <c r="A825" s="14"/>
      <c r="B825" s="706" t="s">
        <v>401</v>
      </c>
      <c r="C825" s="706"/>
      <c r="D825" s="708"/>
      <c r="E825" s="708"/>
      <c r="F825" s="708"/>
      <c r="G825" s="708"/>
      <c r="H825" s="708"/>
      <c r="I825" s="708"/>
      <c r="J825" s="708"/>
      <c r="K825" s="708"/>
      <c r="L825" s="708"/>
      <c r="M825" s="708"/>
      <c r="N825" s="708"/>
      <c r="O825" s="708"/>
      <c r="P825" s="708"/>
      <c r="Q825" s="708"/>
      <c r="R825" s="46"/>
      <c r="S825" s="46"/>
      <c r="T825" s="46"/>
      <c r="U825" s="46"/>
      <c r="V825" s="27"/>
    </row>
    <row r="826" spans="1:32" s="20" customFormat="1" ht="106.5" customHeight="1">
      <c r="A826" s="14"/>
      <c r="B826" s="44"/>
      <c r="C826" s="428" t="str">
        <f>"Aset Tetap per "&amp;'[1]2.ISIAN DATA SKPD'!D8&amp;" senilai Rp "&amp;FIXED(I836)&amp;" merupakan aset tetap yang dikelola oleh "&amp;'[1]2.ISIAN DATA SKPD'!D2&amp;" dengan saldo akhir Tahun "&amp;'[1]2.ISIAN DATA SKPD'!D12&amp;" sebesar Rp "&amp;FIXED(N836)&amp;"  mengalami kenaikan/penurunan sebesar Rp. "&amp;FIXED(AC836)&amp;" atau "&amp;FIXED(S836)&amp;"% dari tahun "&amp;'[1]2.ISIAN DATA SKPD'!D12&amp;".  Adapun rincian aset tetap selama Tahun "&amp;'[1]2.ISIAN DATA SKPD'!D11&amp;" adalah sebagai berikut:"</f>
        <v>Aset Tetap per 31 Desember 2017 senilai Rp 910,390,390,032.03 merupakan aset tetap yang dikelola oleh Dinas Pekerjaan Umum dan Penataan Ruang dengan saldo akhir Tahun 2016 sebesar Rp 823,634,507,809.03  mengalami kenaikan/penurunan sebesar Rp. 86,755,882,223.00 atau 10.53% dari tahun 2016.  Adapun rincian aset tetap selama Tahun 2017 adalah sebagai berikut:</v>
      </c>
      <c r="D826" s="428"/>
      <c r="E826" s="428"/>
      <c r="F826" s="428"/>
      <c r="G826" s="428"/>
      <c r="H826" s="428"/>
      <c r="I826" s="428"/>
      <c r="J826" s="428"/>
      <c r="K826" s="428"/>
      <c r="L826" s="428"/>
      <c r="M826" s="428"/>
      <c r="N826" s="428"/>
      <c r="O826" s="428"/>
      <c r="P826" s="428"/>
      <c r="Q826" s="428"/>
      <c r="R826" s="428"/>
      <c r="S826" s="428"/>
      <c r="T826" s="428"/>
      <c r="U826" s="428"/>
      <c r="V826" s="27"/>
    </row>
    <row r="827" spans="1:32" s="20" customFormat="1" ht="14.25" customHeight="1">
      <c r="A827" s="14"/>
      <c r="C827" s="285"/>
      <c r="D827" s="285"/>
      <c r="E827" s="285"/>
      <c r="F827" s="285"/>
      <c r="G827" s="285"/>
      <c r="H827" s="285"/>
      <c r="I827" s="285"/>
      <c r="J827" s="285"/>
      <c r="K827" s="285"/>
      <c r="L827" s="285"/>
      <c r="M827" s="285"/>
      <c r="N827" s="285"/>
      <c r="O827" s="285"/>
      <c r="P827" s="285"/>
      <c r="Q827" s="285"/>
      <c r="R827" s="285"/>
      <c r="S827" s="285"/>
      <c r="T827" s="285"/>
      <c r="U827" s="285"/>
      <c r="V827" s="27"/>
    </row>
    <row r="828" spans="1:32" s="20" customFormat="1" ht="28.35" customHeight="1">
      <c r="A828" s="14"/>
      <c r="B828" s="386" t="s">
        <v>402</v>
      </c>
      <c r="C828" s="386"/>
      <c r="D828" s="386"/>
      <c r="E828" s="386"/>
      <c r="F828" s="386"/>
      <c r="G828" s="386"/>
      <c r="H828" s="386"/>
      <c r="I828" s="386"/>
      <c r="J828" s="386"/>
      <c r="K828" s="386"/>
      <c r="L828" s="386"/>
      <c r="M828" s="386"/>
      <c r="N828" s="386"/>
      <c r="O828" s="386"/>
      <c r="P828" s="386"/>
      <c r="Q828" s="386"/>
      <c r="R828" s="386"/>
      <c r="S828" s="386"/>
      <c r="T828" s="386"/>
      <c r="U828" s="386"/>
      <c r="V828" s="27"/>
    </row>
    <row r="829" spans="1:32" s="20" customFormat="1" ht="28.35" customHeight="1">
      <c r="A829" s="520" t="s">
        <v>403</v>
      </c>
      <c r="B829" s="521"/>
      <c r="C829" s="521"/>
      <c r="D829" s="521"/>
      <c r="E829" s="521"/>
      <c r="F829" s="521"/>
      <c r="G829" s="521"/>
      <c r="H829" s="522"/>
      <c r="I829" s="523">
        <f>R818</f>
        <v>2017</v>
      </c>
      <c r="J829" s="535"/>
      <c r="K829" s="535"/>
      <c r="L829" s="535"/>
      <c r="M829" s="536"/>
      <c r="N829" s="523">
        <f>F818</f>
        <v>2017</v>
      </c>
      <c r="O829" s="535"/>
      <c r="P829" s="535"/>
      <c r="Q829" s="535"/>
      <c r="R829" s="536"/>
      <c r="S829" s="709" t="s">
        <v>129</v>
      </c>
      <c r="T829" s="710"/>
      <c r="U829" s="711"/>
      <c r="V829" s="431"/>
      <c r="W829" s="665"/>
      <c r="X829" s="666"/>
      <c r="Y829" s="451"/>
      <c r="Z829" s="665"/>
      <c r="AA829" s="665"/>
      <c r="AB829" s="666"/>
      <c r="AC829" s="712" t="s">
        <v>404</v>
      </c>
      <c r="AD829" s="713"/>
      <c r="AE829" s="713"/>
      <c r="AF829" s="713"/>
    </row>
    <row r="830" spans="1:32" s="20" customFormat="1" ht="21.75" customHeight="1">
      <c r="A830" s="714" t="s">
        <v>405</v>
      </c>
      <c r="B830" s="715"/>
      <c r="C830" s="715"/>
      <c r="D830" s="715"/>
      <c r="E830" s="715"/>
      <c r="F830" s="715"/>
      <c r="G830" s="715"/>
      <c r="H830" s="716"/>
      <c r="I830" s="365">
        <f>'[1]4.NERACA'!I62</f>
        <v>289395101045</v>
      </c>
      <c r="J830" s="368"/>
      <c r="K830" s="368"/>
      <c r="L830" s="368"/>
      <c r="M830" s="369"/>
      <c r="N830" s="365">
        <f>'[1]4.NERACA'!D62</f>
        <v>288821533853</v>
      </c>
      <c r="O830" s="368"/>
      <c r="P830" s="368"/>
      <c r="Q830" s="368"/>
      <c r="R830" s="369"/>
      <c r="S830" s="717">
        <f t="shared" ref="S830:S836" si="24">SUM(I830-N830)/N830*100</f>
        <v>0.19858879092163728</v>
      </c>
      <c r="T830" s="718"/>
      <c r="U830" s="719"/>
      <c r="V830" s="204"/>
      <c r="W830" s="665"/>
      <c r="X830" s="666"/>
      <c r="Y830" s="451"/>
      <c r="Z830" s="665"/>
      <c r="AA830" s="665"/>
      <c r="AB830" s="666"/>
      <c r="AC830" s="451">
        <f t="shared" ref="AC830:AC836" si="25">I830-N830</f>
        <v>573567192</v>
      </c>
      <c r="AD830" s="452"/>
      <c r="AE830" s="452"/>
      <c r="AF830" s="452"/>
    </row>
    <row r="831" spans="1:32" s="20" customFormat="1" ht="18" customHeight="1">
      <c r="A831" s="714" t="s">
        <v>406</v>
      </c>
      <c r="B831" s="715"/>
      <c r="C831" s="715"/>
      <c r="D831" s="715"/>
      <c r="E831" s="715"/>
      <c r="F831" s="715"/>
      <c r="G831" s="715"/>
      <c r="H831" s="716"/>
      <c r="I831" s="365">
        <f>'[1]4.NERACA'!I76</f>
        <v>10668719670</v>
      </c>
      <c r="J831" s="368"/>
      <c r="K831" s="368"/>
      <c r="L831" s="368"/>
      <c r="M831" s="369"/>
      <c r="N831" s="365">
        <f>'[1]4.NERACA'!D76</f>
        <v>14374529182</v>
      </c>
      <c r="O831" s="368"/>
      <c r="P831" s="368"/>
      <c r="Q831" s="368"/>
      <c r="R831" s="369"/>
      <c r="S831" s="717">
        <f t="shared" si="24"/>
        <v>-25.780388804945837</v>
      </c>
      <c r="T831" s="718"/>
      <c r="U831" s="719"/>
      <c r="V831" s="204"/>
      <c r="W831" s="665"/>
      <c r="X831" s="666"/>
      <c r="Y831" s="451"/>
      <c r="Z831" s="665"/>
      <c r="AA831" s="665"/>
      <c r="AB831" s="666"/>
      <c r="AC831" s="451">
        <f t="shared" si="25"/>
        <v>-3705809512</v>
      </c>
      <c r="AD831" s="452"/>
      <c r="AE831" s="452"/>
      <c r="AF831" s="452"/>
    </row>
    <row r="832" spans="1:32" s="20" customFormat="1" ht="15.75" customHeight="1">
      <c r="A832" s="714" t="s">
        <v>256</v>
      </c>
      <c r="B832" s="715"/>
      <c r="C832" s="715"/>
      <c r="D832" s="715"/>
      <c r="E832" s="715"/>
      <c r="F832" s="715"/>
      <c r="G832" s="715"/>
      <c r="H832" s="716"/>
      <c r="I832" s="365">
        <f>'[1]4.NERACA'!I102</f>
        <v>11206825886</v>
      </c>
      <c r="J832" s="368"/>
      <c r="K832" s="368"/>
      <c r="L832" s="368"/>
      <c r="M832" s="369"/>
      <c r="N832" s="365">
        <f>'[1]4.NERACA'!D102</f>
        <v>8705891186</v>
      </c>
      <c r="O832" s="368"/>
      <c r="P832" s="368"/>
      <c r="Q832" s="368"/>
      <c r="R832" s="369"/>
      <c r="S832" s="717">
        <f t="shared" si="24"/>
        <v>28.726923488565642</v>
      </c>
      <c r="T832" s="718"/>
      <c r="U832" s="719"/>
      <c r="V832" s="204"/>
      <c r="W832" s="665"/>
      <c r="X832" s="666"/>
      <c r="Y832" s="451"/>
      <c r="Z832" s="665"/>
      <c r="AA832" s="665"/>
      <c r="AB832" s="666"/>
      <c r="AC832" s="451">
        <f t="shared" si="25"/>
        <v>2500934700</v>
      </c>
      <c r="AD832" s="452"/>
      <c r="AE832" s="452"/>
      <c r="AF832" s="452"/>
    </row>
    <row r="833" spans="1:32" s="20" customFormat="1" ht="18" customHeight="1">
      <c r="A833" s="714" t="s">
        <v>407</v>
      </c>
      <c r="B833" s="715"/>
      <c r="C833" s="715"/>
      <c r="D833" s="715"/>
      <c r="E833" s="715"/>
      <c r="F833" s="715"/>
      <c r="G833" s="715"/>
      <c r="H833" s="716"/>
      <c r="I833" s="365">
        <f>'[1]4.NERACA'!I112</f>
        <v>1559880462127</v>
      </c>
      <c r="J833" s="368"/>
      <c r="K833" s="368"/>
      <c r="L833" s="368"/>
      <c r="M833" s="369"/>
      <c r="N833" s="365">
        <f>'[1]4.NERACA'!D112</f>
        <v>1370536978183</v>
      </c>
      <c r="O833" s="368"/>
      <c r="P833" s="368"/>
      <c r="Q833" s="368"/>
      <c r="R833" s="369"/>
      <c r="S833" s="717">
        <f t="shared" si="24"/>
        <v>13.815277293358665</v>
      </c>
      <c r="T833" s="718"/>
      <c r="U833" s="719"/>
      <c r="V833" s="204"/>
      <c r="W833" s="665"/>
      <c r="X833" s="666"/>
      <c r="Y833" s="451"/>
      <c r="Z833" s="665"/>
      <c r="AA833" s="665"/>
      <c r="AB833" s="666"/>
      <c r="AC833" s="451">
        <f t="shared" si="25"/>
        <v>189343483944</v>
      </c>
      <c r="AD833" s="452"/>
      <c r="AE833" s="452"/>
      <c r="AF833" s="452"/>
    </row>
    <row r="834" spans="1:32" s="20" customFormat="1" ht="18" customHeight="1">
      <c r="A834" s="714" t="s">
        <v>267</v>
      </c>
      <c r="B834" s="715"/>
      <c r="C834" s="715"/>
      <c r="D834" s="715"/>
      <c r="E834" s="715"/>
      <c r="F834" s="715"/>
      <c r="G834" s="715"/>
      <c r="H834" s="716"/>
      <c r="I834" s="365">
        <f>'[1]4.NERACA'!I123</f>
        <v>0</v>
      </c>
      <c r="J834" s="368"/>
      <c r="K834" s="368"/>
      <c r="L834" s="368"/>
      <c r="M834" s="369"/>
      <c r="N834" s="365">
        <f>'[1]4.NERACA'!D122</f>
        <v>0</v>
      </c>
      <c r="O834" s="368"/>
      <c r="P834" s="368"/>
      <c r="Q834" s="368"/>
      <c r="R834" s="369"/>
      <c r="S834" s="717"/>
      <c r="T834" s="718"/>
      <c r="U834" s="719"/>
      <c r="V834" s="204"/>
      <c r="W834" s="665"/>
      <c r="X834" s="666"/>
      <c r="Y834" s="451"/>
      <c r="Z834" s="665"/>
      <c r="AA834" s="665"/>
      <c r="AB834" s="666"/>
      <c r="AC834" s="451">
        <f t="shared" si="25"/>
        <v>0</v>
      </c>
      <c r="AD834" s="452"/>
      <c r="AE834" s="452"/>
      <c r="AF834" s="452"/>
    </row>
    <row r="835" spans="1:32" s="20" customFormat="1" ht="18" customHeight="1">
      <c r="A835" s="714" t="s">
        <v>408</v>
      </c>
      <c r="B835" s="715"/>
      <c r="C835" s="715"/>
      <c r="D835" s="715"/>
      <c r="E835" s="715"/>
      <c r="F835" s="715"/>
      <c r="G835" s="715"/>
      <c r="H835" s="716"/>
      <c r="I835" s="365">
        <f>'[1]4.NERACA'!I134</f>
        <v>-960760718695.96997</v>
      </c>
      <c r="J835" s="368"/>
      <c r="K835" s="368"/>
      <c r="L835" s="368"/>
      <c r="M835" s="369"/>
      <c r="N835" s="365">
        <f>'[1]4.NERACA'!D134</f>
        <v>-858804424594.96997</v>
      </c>
      <c r="O835" s="368"/>
      <c r="P835" s="368"/>
      <c r="Q835" s="368"/>
      <c r="R835" s="369"/>
      <c r="S835" s="717">
        <f t="shared" si="24"/>
        <v>11.87188737984026</v>
      </c>
      <c r="T835" s="718"/>
      <c r="U835" s="719"/>
      <c r="V835" s="204"/>
      <c r="W835" s="665"/>
      <c r="X835" s="666"/>
      <c r="Y835" s="451"/>
      <c r="Z835" s="665"/>
      <c r="AA835" s="665"/>
      <c r="AB835" s="666"/>
      <c r="AC835" s="451">
        <f t="shared" si="25"/>
        <v>-101956294101</v>
      </c>
      <c r="AD835" s="452"/>
      <c r="AE835" s="452"/>
      <c r="AF835" s="452"/>
    </row>
    <row r="836" spans="1:32" s="20" customFormat="1" ht="18" customHeight="1">
      <c r="A836" s="542" t="s">
        <v>143</v>
      </c>
      <c r="B836" s="543"/>
      <c r="C836" s="543"/>
      <c r="D836" s="543"/>
      <c r="E836" s="543"/>
      <c r="F836" s="543"/>
      <c r="G836" s="543"/>
      <c r="H836" s="544"/>
      <c r="I836" s="365">
        <f>SUM(I830:M835)</f>
        <v>910390390032.03003</v>
      </c>
      <c r="J836" s="368"/>
      <c r="K836" s="368"/>
      <c r="L836" s="368"/>
      <c r="M836" s="369"/>
      <c r="N836" s="365">
        <f>SUM(N830:R835)</f>
        <v>823634507809.03003</v>
      </c>
      <c r="O836" s="368"/>
      <c r="P836" s="368"/>
      <c r="Q836" s="368"/>
      <c r="R836" s="369"/>
      <c r="S836" s="720">
        <f t="shared" si="24"/>
        <v>10.533298617341982</v>
      </c>
      <c r="T836" s="721"/>
      <c r="U836" s="722"/>
      <c r="V836" s="204"/>
      <c r="W836" s="665"/>
      <c r="X836" s="666"/>
      <c r="Y836" s="451"/>
      <c r="Z836" s="665"/>
      <c r="AA836" s="665"/>
      <c r="AB836" s="666"/>
      <c r="AC836" s="451">
        <f t="shared" si="25"/>
        <v>86755882223</v>
      </c>
      <c r="AD836" s="452"/>
      <c r="AE836" s="452"/>
      <c r="AF836" s="452"/>
    </row>
    <row r="837" spans="1:32" s="20" customFormat="1" ht="18" customHeight="1">
      <c r="A837" s="565"/>
      <c r="B837" s="565"/>
      <c r="C837" s="565"/>
      <c r="D837" s="565"/>
      <c r="E837" s="565"/>
      <c r="F837" s="565"/>
      <c r="G837" s="565"/>
      <c r="H837" s="565"/>
      <c r="I837" s="723"/>
      <c r="J837" s="723"/>
      <c r="K837" s="723"/>
      <c r="L837" s="723"/>
      <c r="M837" s="723"/>
      <c r="N837" s="723"/>
      <c r="O837" s="723"/>
      <c r="P837" s="723"/>
      <c r="Q837" s="723"/>
      <c r="R837" s="723"/>
      <c r="S837" s="723"/>
      <c r="T837" s="512"/>
      <c r="U837" s="512"/>
      <c r="V837" s="27"/>
    </row>
    <row r="838" spans="1:32" s="20" customFormat="1" ht="33" customHeight="1">
      <c r="A838" s="42"/>
      <c r="B838" s="309" t="s">
        <v>409</v>
      </c>
      <c r="C838" s="309"/>
      <c r="D838" s="309"/>
      <c r="E838" s="309"/>
      <c r="F838" s="309"/>
      <c r="G838" s="309"/>
      <c r="H838" s="309"/>
      <c r="I838" s="309"/>
      <c r="J838" s="309"/>
      <c r="K838" s="309"/>
      <c r="L838" s="309"/>
      <c r="M838" s="309"/>
      <c r="N838" s="309"/>
      <c r="O838" s="309"/>
      <c r="P838" s="309"/>
      <c r="Q838" s="309"/>
      <c r="R838" s="309"/>
      <c r="S838" s="309"/>
      <c r="T838" s="309"/>
      <c r="U838" s="309"/>
      <c r="V838" s="27"/>
    </row>
    <row r="839" spans="1:32" s="20" customFormat="1" ht="6" customHeight="1">
      <c r="A839" s="42"/>
      <c r="B839" s="164"/>
      <c r="C839" s="164"/>
      <c r="D839" s="164"/>
      <c r="E839" s="164"/>
      <c r="F839" s="164"/>
      <c r="G839" s="164"/>
      <c r="H839" s="164"/>
      <c r="I839" s="164"/>
      <c r="J839" s="164"/>
      <c r="K839" s="164"/>
      <c r="L839" s="164"/>
      <c r="M839" s="164"/>
      <c r="N839" s="164"/>
      <c r="O839" s="164"/>
      <c r="P839" s="164"/>
      <c r="Q839" s="164"/>
      <c r="R839" s="164"/>
      <c r="S839" s="164"/>
      <c r="T839" s="164"/>
      <c r="U839" s="164"/>
      <c r="V839" s="27"/>
    </row>
    <row r="840" spans="1:32" s="20" customFormat="1" ht="19.5" customHeight="1">
      <c r="A840" s="42"/>
      <c r="B840" s="724" t="s">
        <v>5</v>
      </c>
      <c r="C840" s="725" t="s">
        <v>405</v>
      </c>
      <c r="D840" s="725"/>
      <c r="E840" s="725"/>
      <c r="F840" s="725"/>
      <c r="G840" s="725"/>
      <c r="H840" s="725"/>
      <c r="I840" s="725"/>
      <c r="J840" s="725"/>
      <c r="K840" s="725"/>
      <c r="L840" s="725"/>
      <c r="M840" s="725"/>
      <c r="N840" s="725"/>
      <c r="O840" s="725"/>
      <c r="P840" s="725"/>
      <c r="Q840" s="725"/>
      <c r="R840" s="725"/>
      <c r="S840" s="725"/>
      <c r="T840" s="725"/>
      <c r="U840" s="725"/>
      <c r="V840" s="27"/>
    </row>
    <row r="841" spans="1:32" s="20" customFormat="1" ht="80.25" customHeight="1">
      <c r="A841" s="42"/>
      <c r="C841" s="313" t="str">
        <f>"Saldo aset tetap berupa tanah yang dimiliki  "&amp;'[1]2.ISIAN DATA SKPD'!D2&amp;" per "&amp;'[1]2.ISIAN DATA SKPD'!D8&amp;" dan  "&amp;'[1]2.ISIAN DATA SKPD'!D12&amp;" adalah sebesar Rp. "&amp;FIXED(R847)&amp;" dan Rp. "&amp;FIXED(B847)&amp;" naik sebesar Rp. "&amp;FIXED(AC847)&amp;" atau "&amp;FIXED(Y847)&amp;"% dari tahun "&amp;'[1]2.ISIAN DATA SKPD'!D12&amp;"."</f>
        <v>Saldo aset tetap berupa tanah yang dimiliki  Dinas Pekerjaan Umum dan Penataan Ruang per 31 Desember 2017 dan  2016 adalah sebesar Rp. 289,395,101,045.00 dan Rp. 288,821,533,853.00 naik sebesar Rp. 573,567,192.00 atau 0.20% dari tahun 2016.</v>
      </c>
      <c r="D841" s="313"/>
      <c r="E841" s="313"/>
      <c r="F841" s="313"/>
      <c r="G841" s="313"/>
      <c r="H841" s="313"/>
      <c r="I841" s="313"/>
      <c r="J841" s="313"/>
      <c r="K841" s="313"/>
      <c r="L841" s="313"/>
      <c r="M841" s="313"/>
      <c r="N841" s="313"/>
      <c r="O841" s="313"/>
      <c r="P841" s="313"/>
      <c r="Q841" s="313"/>
      <c r="R841" s="313"/>
      <c r="S841" s="313"/>
      <c r="T841" s="313"/>
      <c r="U841" s="313"/>
      <c r="V841" s="27"/>
    </row>
    <row r="842" spans="1:32" s="20" customFormat="1" ht="19.5" customHeight="1">
      <c r="A842" s="14"/>
      <c r="C842" s="313" t="s">
        <v>410</v>
      </c>
      <c r="D842" s="313"/>
      <c r="E842" s="313"/>
      <c r="F842" s="313"/>
      <c r="G842" s="313"/>
      <c r="H842" s="313"/>
      <c r="I842" s="313"/>
      <c r="J842" s="313"/>
      <c r="K842" s="313"/>
      <c r="L842" s="313"/>
      <c r="M842" s="313"/>
      <c r="N842" s="313"/>
      <c r="O842" s="313"/>
      <c r="P842" s="313"/>
      <c r="Q842" s="313"/>
      <c r="R842" s="313"/>
      <c r="S842" s="313"/>
      <c r="T842" s="313"/>
      <c r="U842" s="313"/>
      <c r="V842" s="27"/>
    </row>
    <row r="843" spans="1:32" s="20" customFormat="1" ht="19.5" customHeight="1">
      <c r="A843" s="14"/>
      <c r="C843" s="285"/>
      <c r="D843" s="285"/>
      <c r="E843" s="285"/>
      <c r="F843" s="285"/>
      <c r="G843" s="285"/>
      <c r="H843" s="285"/>
      <c r="I843" s="285"/>
      <c r="J843" s="285"/>
      <c r="K843" s="285"/>
      <c r="L843" s="285"/>
      <c r="M843" s="285"/>
      <c r="N843" s="285"/>
      <c r="O843" s="285"/>
      <c r="P843" s="285"/>
      <c r="Q843" s="285"/>
      <c r="R843" s="285"/>
      <c r="S843" s="285"/>
      <c r="T843" s="285"/>
      <c r="U843" s="285"/>
      <c r="V843" s="27"/>
    </row>
    <row r="844" spans="1:32" s="20" customFormat="1" ht="30" customHeight="1">
      <c r="A844" s="726" t="s">
        <v>84</v>
      </c>
      <c r="B844" s="727" t="s">
        <v>411</v>
      </c>
      <c r="C844" s="728"/>
      <c r="D844" s="728"/>
      <c r="E844" s="729"/>
      <c r="F844" s="730" t="s">
        <v>412</v>
      </c>
      <c r="G844" s="730"/>
      <c r="H844" s="730"/>
      <c r="I844" s="730"/>
      <c r="J844" s="730"/>
      <c r="K844" s="730"/>
      <c r="L844" s="730" t="s">
        <v>413</v>
      </c>
      <c r="M844" s="730"/>
      <c r="N844" s="730"/>
      <c r="O844" s="730"/>
      <c r="P844" s="730"/>
      <c r="Q844" s="730"/>
      <c r="R844" s="731" t="s">
        <v>414</v>
      </c>
      <c r="S844" s="731"/>
      <c r="T844" s="731"/>
      <c r="U844" s="731"/>
      <c r="V844" s="27"/>
    </row>
    <row r="845" spans="1:32" s="20" customFormat="1" ht="19.5" customHeight="1">
      <c r="A845" s="732"/>
      <c r="B845" s="733">
        <f>F818</f>
        <v>2017</v>
      </c>
      <c r="C845" s="734"/>
      <c r="D845" s="734"/>
      <c r="E845" s="735"/>
      <c r="F845" s="727" t="s">
        <v>415</v>
      </c>
      <c r="G845" s="728"/>
      <c r="H845" s="729"/>
      <c r="I845" s="727" t="s">
        <v>416</v>
      </c>
      <c r="J845" s="728"/>
      <c r="K845" s="729"/>
      <c r="L845" s="727" t="s">
        <v>415</v>
      </c>
      <c r="M845" s="728"/>
      <c r="N845" s="729"/>
      <c r="O845" s="736" t="s">
        <v>416</v>
      </c>
      <c r="P845" s="736"/>
      <c r="Q845" s="736"/>
      <c r="R845" s="737">
        <f>R818</f>
        <v>2017</v>
      </c>
      <c r="S845" s="738"/>
      <c r="T845" s="738"/>
      <c r="U845" s="738"/>
      <c r="V845" s="431"/>
      <c r="W845" s="665"/>
      <c r="X845" s="666"/>
      <c r="Y845" s="451" t="s">
        <v>417</v>
      </c>
      <c r="Z845" s="665"/>
      <c r="AA845" s="665"/>
      <c r="AB845" s="666"/>
      <c r="AC845" s="712" t="s">
        <v>404</v>
      </c>
      <c r="AD845" s="713"/>
      <c r="AE845" s="713"/>
      <c r="AF845" s="713"/>
    </row>
    <row r="846" spans="1:32" s="20" customFormat="1" ht="30" customHeight="1">
      <c r="A846" s="739" t="s">
        <v>405</v>
      </c>
      <c r="B846" s="740">
        <f>'[1]4.NERACA'!D62</f>
        <v>288821533853</v>
      </c>
      <c r="C846" s="741"/>
      <c r="D846" s="741"/>
      <c r="E846" s="742"/>
      <c r="F846" s="740">
        <f>'[1]4.NERACA'!E62</f>
        <v>0</v>
      </c>
      <c r="G846" s="741"/>
      <c r="H846" s="742"/>
      <c r="I846" s="740">
        <f>'[1]4.NERACA'!F62</f>
        <v>0</v>
      </c>
      <c r="J846" s="741"/>
      <c r="K846" s="742"/>
      <c r="L846" s="743">
        <f>'[1]4.NERACA'!G62</f>
        <v>8900427600</v>
      </c>
      <c r="M846" s="744"/>
      <c r="N846" s="745"/>
      <c r="O846" s="743">
        <f>'[1]4.NERACA'!H62</f>
        <v>8326860408</v>
      </c>
      <c r="P846" s="744"/>
      <c r="Q846" s="745"/>
      <c r="R846" s="740">
        <f>'[1]4.NERACA'!I62</f>
        <v>289395101045</v>
      </c>
      <c r="S846" s="741"/>
      <c r="T846" s="741"/>
      <c r="U846" s="742"/>
      <c r="V846" s="204"/>
      <c r="W846" s="665"/>
      <c r="X846" s="666"/>
      <c r="Y846" s="451">
        <f>(R846-B846)/B846*100</f>
        <v>0.19858879092163728</v>
      </c>
      <c r="Z846" s="665"/>
      <c r="AA846" s="665"/>
      <c r="AB846" s="666"/>
      <c r="AC846" s="451">
        <f>R846-B846</f>
        <v>573567192</v>
      </c>
      <c r="AD846" s="452"/>
      <c r="AE846" s="452"/>
      <c r="AF846" s="452"/>
    </row>
    <row r="847" spans="1:32" s="20" customFormat="1" ht="21.75" customHeight="1">
      <c r="A847" s="746" t="s">
        <v>143</v>
      </c>
      <c r="B847" s="740">
        <f>B846</f>
        <v>288821533853</v>
      </c>
      <c r="C847" s="741"/>
      <c r="D847" s="741"/>
      <c r="E847" s="742"/>
      <c r="F847" s="740">
        <f>F846</f>
        <v>0</v>
      </c>
      <c r="G847" s="741"/>
      <c r="H847" s="742"/>
      <c r="I847" s="740">
        <f>I846</f>
        <v>0</v>
      </c>
      <c r="J847" s="741"/>
      <c r="K847" s="742"/>
      <c r="L847" s="743">
        <f>L846</f>
        <v>8900427600</v>
      </c>
      <c r="M847" s="744"/>
      <c r="N847" s="745"/>
      <c r="O847" s="743">
        <f>O846</f>
        <v>8326860408</v>
      </c>
      <c r="P847" s="744"/>
      <c r="Q847" s="745"/>
      <c r="R847" s="740">
        <f>R846</f>
        <v>289395101045</v>
      </c>
      <c r="S847" s="741"/>
      <c r="T847" s="741"/>
      <c r="U847" s="742"/>
      <c r="V847" s="204"/>
      <c r="W847" s="665"/>
      <c r="X847" s="666"/>
      <c r="Y847" s="451">
        <f>(R847-B847)/B847*100</f>
        <v>0.19858879092163728</v>
      </c>
      <c r="Z847" s="665"/>
      <c r="AA847" s="665"/>
      <c r="AB847" s="666"/>
      <c r="AC847" s="451">
        <f>R847-B847</f>
        <v>573567192</v>
      </c>
      <c r="AD847" s="452"/>
      <c r="AE847" s="452"/>
      <c r="AF847" s="452"/>
    </row>
    <row r="848" spans="1:32" s="20" customFormat="1" ht="14.25" customHeight="1">
      <c r="A848" s="14"/>
      <c r="C848" s="747" t="s">
        <v>418</v>
      </c>
      <c r="D848" s="747"/>
      <c r="E848" s="747"/>
      <c r="F848" s="747"/>
      <c r="G848" s="747"/>
      <c r="H848" s="747"/>
      <c r="I848" s="747"/>
      <c r="J848" s="747"/>
      <c r="K848" s="747"/>
      <c r="L848" s="747"/>
      <c r="M848" s="747"/>
      <c r="N848" s="747"/>
      <c r="O848" s="747"/>
      <c r="P848" s="747"/>
      <c r="Q848" s="747"/>
      <c r="R848" s="747"/>
      <c r="S848" s="747"/>
      <c r="T848" s="747"/>
      <c r="U848" s="748"/>
      <c r="V848" s="27"/>
    </row>
    <row r="849" spans="1:27" s="20" customFormat="1" ht="26.25" customHeight="1">
      <c r="A849" s="14"/>
      <c r="C849" s="749" t="s">
        <v>419</v>
      </c>
      <c r="D849" s="749"/>
      <c r="E849" s="749"/>
      <c r="F849" s="749"/>
      <c r="G849" s="749"/>
      <c r="H849" s="749"/>
      <c r="I849" s="749"/>
      <c r="J849" s="749"/>
      <c r="K849" s="749"/>
      <c r="L849" s="749"/>
      <c r="M849" s="749"/>
      <c r="N849" s="749"/>
      <c r="O849" s="749"/>
      <c r="P849" s="749"/>
      <c r="Q849" s="749"/>
      <c r="R849" s="749"/>
      <c r="S849" s="749"/>
      <c r="T849" s="749"/>
      <c r="U849" s="749"/>
      <c r="V849" s="27"/>
    </row>
    <row r="850" spans="1:27" s="20" customFormat="1" ht="19.5" customHeight="1">
      <c r="A850" s="14"/>
      <c r="C850" s="152" t="str">
        <f>"    Mutasi/Koreksi debet sebesar Rp. "&amp;FIXED(F846+L846)&amp;" berasal dari :"</f>
        <v xml:space="preserve">    Mutasi/Koreksi debet sebesar Rp. 8,900,427,600.00 berasal dari :</v>
      </c>
      <c r="D850" s="152"/>
      <c r="E850" s="152"/>
      <c r="F850" s="152"/>
      <c r="G850" s="152"/>
      <c r="H850" s="152"/>
      <c r="I850" s="152"/>
      <c r="J850" s="152"/>
      <c r="K850" s="152"/>
      <c r="L850" s="152"/>
      <c r="M850" s="152"/>
      <c r="N850" s="152"/>
      <c r="O850" s="152"/>
      <c r="P850" s="152"/>
      <c r="Q850" s="152"/>
      <c r="R850" s="152"/>
      <c r="S850" s="152"/>
      <c r="T850" s="152"/>
      <c r="U850" s="152"/>
      <c r="V850" s="27"/>
    </row>
    <row r="851" spans="1:27" s="20" customFormat="1" ht="33" customHeight="1">
      <c r="A851" s="750">
        <f>3419+14770+19897</f>
        <v>38086</v>
      </c>
      <c r="C851" s="152" t="s">
        <v>420</v>
      </c>
      <c r="D851" s="152"/>
      <c r="E851" s="152"/>
      <c r="F851" s="152"/>
      <c r="G851" s="152"/>
      <c r="H851" s="152"/>
      <c r="I851" s="152"/>
      <c r="J851" s="152"/>
      <c r="K851" s="152"/>
      <c r="L851" s="152"/>
      <c r="M851" s="152"/>
      <c r="N851" s="152"/>
      <c r="O851" s="152"/>
      <c r="P851" s="152"/>
      <c r="Q851" s="152"/>
      <c r="R851" s="152"/>
      <c r="S851" s="152"/>
      <c r="T851" s="152"/>
      <c r="U851" s="152"/>
      <c r="V851" s="27"/>
    </row>
    <row r="852" spans="1:27" s="20" customFormat="1" ht="63.75" customHeight="1">
      <c r="A852" s="14"/>
      <c r="C852" s="751" t="s">
        <v>421</v>
      </c>
      <c r="D852" s="751"/>
      <c r="E852" s="751"/>
      <c r="F852" s="751"/>
      <c r="G852" s="751"/>
      <c r="H852" s="751"/>
      <c r="I852" s="751"/>
      <c r="J852" s="751"/>
      <c r="K852" s="751"/>
      <c r="L852" s="751"/>
      <c r="M852" s="751"/>
      <c r="N852" s="751"/>
      <c r="O852" s="751"/>
      <c r="P852" s="751"/>
      <c r="Q852" s="751"/>
      <c r="R852" s="751"/>
      <c r="S852" s="751"/>
      <c r="T852" s="751"/>
      <c r="U852" s="751"/>
      <c r="V852" s="27"/>
    </row>
    <row r="853" spans="1:27" s="20" customFormat="1" ht="19.5" customHeight="1">
      <c r="A853" s="14"/>
      <c r="C853" s="749" t="s">
        <v>422</v>
      </c>
      <c r="D853" s="749"/>
      <c r="E853" s="749"/>
      <c r="F853" s="749"/>
      <c r="G853" s="749"/>
      <c r="H853" s="749"/>
      <c r="I853" s="749"/>
      <c r="J853" s="749"/>
      <c r="K853" s="749"/>
      <c r="L853" s="749"/>
      <c r="M853" s="749"/>
      <c r="N853" s="749"/>
      <c r="O853" s="749"/>
      <c r="P853" s="749"/>
      <c r="Q853" s="749"/>
      <c r="R853" s="749"/>
      <c r="S853" s="749"/>
      <c r="T853" s="749"/>
      <c r="U853" s="749"/>
      <c r="V853" s="27"/>
    </row>
    <row r="854" spans="1:27" s="20" customFormat="1" ht="15.75" customHeight="1">
      <c r="A854" s="14"/>
      <c r="C854" s="152" t="str">
        <f>"    Mutasi/Koreksi kredit sebesar Rp. "&amp;FIXED(I847+O847)&amp;" berasal dari :"</f>
        <v xml:space="preserve">    Mutasi/Koreksi kredit sebesar Rp. 8,326,860,408.00 berasal dari :</v>
      </c>
      <c r="D854" s="152"/>
      <c r="E854" s="152"/>
      <c r="F854" s="152"/>
      <c r="G854" s="152"/>
      <c r="H854" s="152"/>
      <c r="I854" s="152"/>
      <c r="J854" s="152"/>
      <c r="K854" s="152"/>
      <c r="L854" s="152"/>
      <c r="M854" s="152"/>
      <c r="N854" s="152"/>
      <c r="O854" s="152"/>
      <c r="P854" s="152"/>
      <c r="Q854" s="152"/>
      <c r="R854" s="152"/>
      <c r="S854" s="152"/>
      <c r="T854" s="152"/>
      <c r="U854" s="152"/>
      <c r="V854" s="27"/>
    </row>
    <row r="855" spans="1:27" s="20" customFormat="1" ht="73.5" customHeight="1">
      <c r="A855" s="14"/>
      <c r="C855" s="354" t="s">
        <v>423</v>
      </c>
      <c r="D855" s="354"/>
      <c r="E855" s="354"/>
      <c r="F855" s="354"/>
      <c r="G855" s="354"/>
      <c r="H855" s="354"/>
      <c r="I855" s="354"/>
      <c r="J855" s="354"/>
      <c r="K855" s="354"/>
      <c r="L855" s="354"/>
      <c r="M855" s="354"/>
      <c r="N855" s="354"/>
      <c r="O855" s="354"/>
      <c r="P855" s="354"/>
      <c r="Q855" s="354"/>
      <c r="R855" s="354"/>
      <c r="S855" s="354"/>
      <c r="T855" s="354"/>
      <c r="U855" s="354"/>
      <c r="V855" s="27"/>
    </row>
    <row r="856" spans="1:27" s="20" customFormat="1" ht="19.5" customHeight="1">
      <c r="A856" s="14"/>
      <c r="C856" s="354"/>
      <c r="D856" s="354"/>
      <c r="E856" s="354"/>
      <c r="F856" s="354"/>
      <c r="G856" s="354"/>
      <c r="H856" s="354"/>
      <c r="I856" s="354"/>
      <c r="J856" s="354"/>
      <c r="K856" s="354"/>
      <c r="L856" s="354"/>
      <c r="M856" s="354"/>
      <c r="N856" s="354"/>
      <c r="O856" s="354"/>
      <c r="P856" s="354"/>
      <c r="Q856" s="354"/>
      <c r="R856" s="354"/>
      <c r="S856" s="354"/>
      <c r="T856" s="354"/>
      <c r="U856" s="354"/>
      <c r="V856" s="27"/>
    </row>
    <row r="857" spans="1:27" s="20" customFormat="1" ht="29.25" customHeight="1">
      <c r="A857" s="14"/>
      <c r="C857" s="568" t="str">
        <f>"Rincian saldo Tanah per "&amp;'[1]2.ISIAN DATA SKPD'!D8&amp;" adalah sebagai berikut:"</f>
        <v>Rincian saldo Tanah per 31 Desember 2017 adalah sebagai berikut:</v>
      </c>
      <c r="D857" s="568"/>
      <c r="E857" s="568"/>
      <c r="F857" s="568"/>
      <c r="G857" s="568"/>
      <c r="H857" s="568"/>
      <c r="I857" s="568"/>
      <c r="J857" s="568"/>
      <c r="K857" s="568"/>
      <c r="L857" s="568"/>
      <c r="M857" s="568"/>
      <c r="N857" s="568"/>
      <c r="O857" s="568"/>
      <c r="P857" s="568"/>
      <c r="Q857" s="568"/>
      <c r="R857" s="568"/>
      <c r="S857" s="568"/>
      <c r="T857" s="568"/>
      <c r="U857" s="568"/>
      <c r="V857" s="27"/>
    </row>
    <row r="858" spans="1:27" s="20" customFormat="1" ht="22.5" customHeight="1">
      <c r="A858" s="14"/>
      <c r="B858" s="752" t="s">
        <v>147</v>
      </c>
      <c r="C858" s="411" t="s">
        <v>293</v>
      </c>
      <c r="D858" s="454"/>
      <c r="E858" s="454"/>
      <c r="F858" s="454"/>
      <c r="G858" s="454"/>
      <c r="H858" s="454"/>
      <c r="I858" s="454"/>
      <c r="J858" s="454"/>
      <c r="K858" s="454"/>
      <c r="L858" s="454"/>
      <c r="M858" s="454"/>
      <c r="N858" s="454"/>
      <c r="O858" s="455"/>
      <c r="P858" s="411" t="s">
        <v>424</v>
      </c>
      <c r="Q858" s="454"/>
      <c r="R858" s="454"/>
      <c r="S858" s="454"/>
      <c r="T858" s="454"/>
      <c r="U858" s="455"/>
      <c r="V858" s="27"/>
    </row>
    <row r="859" spans="1:27" s="20" customFormat="1" ht="19.5" customHeight="1">
      <c r="A859" s="14"/>
      <c r="B859" s="753">
        <v>1</v>
      </c>
      <c r="C859" s="294" t="str">
        <f>'[1]4.NERACA'!C63</f>
        <v>Tanah Perkampungan</v>
      </c>
      <c r="D859" s="295"/>
      <c r="E859" s="295"/>
      <c r="F859" s="295"/>
      <c r="G859" s="295"/>
      <c r="H859" s="295"/>
      <c r="I859" s="295"/>
      <c r="J859" s="295"/>
      <c r="K859" s="295"/>
      <c r="L859" s="295"/>
      <c r="M859" s="295"/>
      <c r="N859" s="295"/>
      <c r="O859" s="296"/>
      <c r="P859" s="246">
        <f>'[1]4.NERACA'!I63</f>
        <v>0</v>
      </c>
      <c r="Q859" s="247"/>
      <c r="R859" s="247"/>
      <c r="S859" s="247"/>
      <c r="T859" s="247"/>
      <c r="U859" s="248"/>
      <c r="V859" s="754"/>
      <c r="W859" s="755"/>
      <c r="X859" s="755"/>
      <c r="Y859" s="755"/>
      <c r="Z859" s="755"/>
      <c r="AA859" s="756"/>
    </row>
    <row r="860" spans="1:27" s="20" customFormat="1" ht="19.5" customHeight="1">
      <c r="A860" s="14"/>
      <c r="B860" s="753">
        <v>2</v>
      </c>
      <c r="C860" s="294" t="str">
        <f>'[1]4.NERACA'!C64</f>
        <v>Tanah Pertanian</v>
      </c>
      <c r="D860" s="295"/>
      <c r="E860" s="295"/>
      <c r="F860" s="295"/>
      <c r="G860" s="295"/>
      <c r="H860" s="295"/>
      <c r="I860" s="295"/>
      <c r="J860" s="295"/>
      <c r="K860" s="295"/>
      <c r="L860" s="295"/>
      <c r="M860" s="295"/>
      <c r="N860" s="295"/>
      <c r="O860" s="296"/>
      <c r="P860" s="757">
        <f>'[1]4.NERACA'!I64</f>
        <v>0</v>
      </c>
      <c r="Q860" s="758"/>
      <c r="R860" s="758"/>
      <c r="S860" s="758"/>
      <c r="T860" s="758"/>
      <c r="U860" s="759"/>
      <c r="V860" s="27"/>
    </row>
    <row r="861" spans="1:27" s="20" customFormat="1" ht="19.5" customHeight="1">
      <c r="A861" s="14"/>
      <c r="B861" s="753">
        <v>3</v>
      </c>
      <c r="C861" s="294" t="str">
        <f>'[1]4.NERACA'!C65</f>
        <v>Tanah Perkebunan</v>
      </c>
      <c r="D861" s="295"/>
      <c r="E861" s="295"/>
      <c r="F861" s="295"/>
      <c r="G861" s="295"/>
      <c r="H861" s="295"/>
      <c r="I861" s="295"/>
      <c r="J861" s="295"/>
      <c r="K861" s="295"/>
      <c r="L861" s="295"/>
      <c r="M861" s="295"/>
      <c r="N861" s="295"/>
      <c r="O861" s="296"/>
      <c r="P861" s="757">
        <f>'[1]4.NERACA'!I65</f>
        <v>0</v>
      </c>
      <c r="Q861" s="758"/>
      <c r="R861" s="758"/>
      <c r="S861" s="758"/>
      <c r="T861" s="758"/>
      <c r="U861" s="759"/>
      <c r="V861" s="27"/>
    </row>
    <row r="862" spans="1:27" s="20" customFormat="1" ht="20.25" customHeight="1">
      <c r="A862" s="14"/>
      <c r="B862" s="753">
        <v>4</v>
      </c>
      <c r="C862" s="294" t="str">
        <f>'[1]4.NERACA'!C66</f>
        <v>Kebun Campuran</v>
      </c>
      <c r="D862" s="295"/>
      <c r="E862" s="295"/>
      <c r="F862" s="295"/>
      <c r="G862" s="295"/>
      <c r="H862" s="295"/>
      <c r="I862" s="295"/>
      <c r="J862" s="295"/>
      <c r="K862" s="295"/>
      <c r="L862" s="295"/>
      <c r="M862" s="295"/>
      <c r="N862" s="295"/>
      <c r="O862" s="296"/>
      <c r="P862" s="757">
        <f>'[1]4.NERACA'!I66</f>
        <v>0</v>
      </c>
      <c r="Q862" s="758"/>
      <c r="R862" s="758"/>
      <c r="S862" s="758"/>
      <c r="T862" s="758"/>
      <c r="U862" s="759"/>
      <c r="V862" s="27"/>
    </row>
    <row r="863" spans="1:27" s="20" customFormat="1" ht="19.5" customHeight="1">
      <c r="A863" s="14"/>
      <c r="B863" s="753">
        <v>5</v>
      </c>
      <c r="C863" s="294" t="str">
        <f>'[1]4.NERACA'!C67</f>
        <v>Hutan</v>
      </c>
      <c r="D863" s="295"/>
      <c r="E863" s="295"/>
      <c r="F863" s="295"/>
      <c r="G863" s="295"/>
      <c r="H863" s="295"/>
      <c r="I863" s="295"/>
      <c r="J863" s="295"/>
      <c r="K863" s="295"/>
      <c r="L863" s="295"/>
      <c r="M863" s="295"/>
      <c r="N863" s="295"/>
      <c r="O863" s="296"/>
      <c r="P863" s="757">
        <f>'[1]4.NERACA'!I67</f>
        <v>0</v>
      </c>
      <c r="Q863" s="758"/>
      <c r="R863" s="758"/>
      <c r="S863" s="758"/>
      <c r="T863" s="758"/>
      <c r="U863" s="759"/>
      <c r="V863" s="27"/>
    </row>
    <row r="864" spans="1:27" s="20" customFormat="1" ht="20.25" customHeight="1">
      <c r="A864" s="14"/>
      <c r="B864" s="753">
        <v>6</v>
      </c>
      <c r="C864" s="294" t="str">
        <f>'[1]4.NERACA'!C68</f>
        <v>Kolam ilan</v>
      </c>
      <c r="D864" s="295"/>
      <c r="E864" s="295"/>
      <c r="F864" s="295"/>
      <c r="G864" s="295"/>
      <c r="H864" s="295"/>
      <c r="I864" s="295"/>
      <c r="J864" s="295"/>
      <c r="K864" s="295"/>
      <c r="L864" s="295"/>
      <c r="M864" s="295"/>
      <c r="N864" s="295"/>
      <c r="O864" s="296"/>
      <c r="P864" s="757">
        <f>'[1]4.NERACA'!I68</f>
        <v>0</v>
      </c>
      <c r="Q864" s="758"/>
      <c r="R864" s="758"/>
      <c r="S864" s="758"/>
      <c r="T864" s="758"/>
      <c r="U864" s="759"/>
      <c r="V864" s="27"/>
    </row>
    <row r="865" spans="1:32" s="20" customFormat="1" ht="20.25" customHeight="1">
      <c r="A865" s="14"/>
      <c r="B865" s="753">
        <v>7</v>
      </c>
      <c r="C865" s="294" t="str">
        <f>'[1]4.NERACA'!C69</f>
        <v>Danau/Rawa</v>
      </c>
      <c r="D865" s="295"/>
      <c r="E865" s="295"/>
      <c r="F865" s="295"/>
      <c r="G865" s="295"/>
      <c r="H865" s="295"/>
      <c r="I865" s="295"/>
      <c r="J865" s="295"/>
      <c r="K865" s="295"/>
      <c r="L865" s="295"/>
      <c r="M865" s="295"/>
      <c r="N865" s="295"/>
      <c r="O865" s="296"/>
      <c r="P865" s="757">
        <f>'[1]4.NERACA'!I69</f>
        <v>0</v>
      </c>
      <c r="Q865" s="758"/>
      <c r="R865" s="758"/>
      <c r="S865" s="758"/>
      <c r="T865" s="758"/>
      <c r="U865" s="759"/>
      <c r="V865" s="27"/>
    </row>
    <row r="866" spans="1:32" s="20" customFormat="1" ht="20.25" customHeight="1">
      <c r="A866" s="14"/>
      <c r="B866" s="753">
        <v>8</v>
      </c>
      <c r="C866" s="294" t="str">
        <f>'[1]4.NERACA'!C70</f>
        <v>Tanah Tandus/Rusak</v>
      </c>
      <c r="D866" s="295"/>
      <c r="E866" s="295"/>
      <c r="F866" s="295"/>
      <c r="G866" s="295"/>
      <c r="H866" s="295"/>
      <c r="I866" s="295"/>
      <c r="J866" s="295"/>
      <c r="K866" s="295"/>
      <c r="L866" s="295"/>
      <c r="M866" s="295"/>
      <c r="N866" s="295"/>
      <c r="O866" s="296"/>
      <c r="P866" s="757">
        <f>'[1]4.NERACA'!I70</f>
        <v>0</v>
      </c>
      <c r="Q866" s="758"/>
      <c r="R866" s="758"/>
      <c r="S866" s="758"/>
      <c r="T866" s="758"/>
      <c r="U866" s="759"/>
      <c r="V866" s="27"/>
    </row>
    <row r="867" spans="1:32" s="20" customFormat="1" ht="20.25" customHeight="1">
      <c r="A867" s="14"/>
      <c r="B867" s="753">
        <v>9</v>
      </c>
      <c r="C867" s="294" t="str">
        <f>'[1]4.NERACA'!C71</f>
        <v>Alang-alang dan Padang Rumput</v>
      </c>
      <c r="D867" s="295"/>
      <c r="E867" s="295"/>
      <c r="F867" s="295"/>
      <c r="G867" s="295"/>
      <c r="H867" s="295"/>
      <c r="I867" s="295"/>
      <c r="J867" s="295"/>
      <c r="K867" s="295"/>
      <c r="L867" s="295"/>
      <c r="M867" s="295"/>
      <c r="N867" s="295"/>
      <c r="O867" s="296"/>
      <c r="P867" s="757">
        <f>'[1]4.NERACA'!I71</f>
        <v>0</v>
      </c>
      <c r="Q867" s="758"/>
      <c r="R867" s="758"/>
      <c r="S867" s="758"/>
      <c r="T867" s="758"/>
      <c r="U867" s="759"/>
      <c r="V867" s="27"/>
    </row>
    <row r="868" spans="1:32" s="20" customFormat="1" ht="20.25" customHeight="1">
      <c r="A868" s="14"/>
      <c r="B868" s="753">
        <v>10</v>
      </c>
      <c r="C868" s="294" t="str">
        <f>'[1]4.NERACA'!C72</f>
        <v>Tanah Pengguna Lain</v>
      </c>
      <c r="D868" s="295"/>
      <c r="E868" s="295"/>
      <c r="F868" s="295"/>
      <c r="G868" s="295"/>
      <c r="H868" s="295"/>
      <c r="I868" s="295"/>
      <c r="J868" s="295"/>
      <c r="K868" s="295"/>
      <c r="L868" s="295"/>
      <c r="M868" s="295"/>
      <c r="N868" s="295"/>
      <c r="O868" s="296"/>
      <c r="P868" s="757">
        <f>'[1]4.NERACA'!I72</f>
        <v>0</v>
      </c>
      <c r="Q868" s="758"/>
      <c r="R868" s="758"/>
      <c r="S868" s="758"/>
      <c r="T868" s="758"/>
      <c r="U868" s="759"/>
      <c r="V868" s="27"/>
    </row>
    <row r="869" spans="1:32" s="20" customFormat="1" ht="18.75" customHeight="1">
      <c r="A869" s="42"/>
      <c r="B869" s="753">
        <v>11</v>
      </c>
      <c r="C869" s="294" t="str">
        <f>'[1]4.NERACA'!C73</f>
        <v>Tanah Untuk Bangunan Gedung</v>
      </c>
      <c r="D869" s="295"/>
      <c r="E869" s="295"/>
      <c r="F869" s="295"/>
      <c r="G869" s="295"/>
      <c r="H869" s="295"/>
      <c r="I869" s="295"/>
      <c r="J869" s="295"/>
      <c r="K869" s="295"/>
      <c r="L869" s="295"/>
      <c r="M869" s="295"/>
      <c r="N869" s="295"/>
      <c r="O869" s="296"/>
      <c r="P869" s="757">
        <f>'[1]4.NERACA'!I73</f>
        <v>2287968511</v>
      </c>
      <c r="Q869" s="758"/>
      <c r="R869" s="758"/>
      <c r="S869" s="758"/>
      <c r="T869" s="758"/>
      <c r="U869" s="759"/>
      <c r="V869" s="27"/>
    </row>
    <row r="870" spans="1:32" s="20" customFormat="1" ht="20.25" customHeight="1">
      <c r="A870" s="42"/>
      <c r="B870" s="753">
        <v>12</v>
      </c>
      <c r="C870" s="294" t="str">
        <f>'[1]4.NERACA'!C74</f>
        <v>Tanah Pertambangan</v>
      </c>
      <c r="D870" s="295"/>
      <c r="E870" s="295"/>
      <c r="F870" s="295"/>
      <c r="G870" s="295"/>
      <c r="H870" s="295"/>
      <c r="I870" s="295"/>
      <c r="J870" s="295"/>
      <c r="K870" s="295"/>
      <c r="L870" s="295"/>
      <c r="M870" s="295"/>
      <c r="N870" s="295"/>
      <c r="O870" s="296"/>
      <c r="P870" s="757">
        <f>'[1]4.NERACA'!I74</f>
        <v>0</v>
      </c>
      <c r="Q870" s="758"/>
      <c r="R870" s="758"/>
      <c r="S870" s="758"/>
      <c r="T870" s="758"/>
      <c r="U870" s="759"/>
      <c r="V870" s="27"/>
    </row>
    <row r="871" spans="1:32" s="20" customFormat="1" ht="17.25" customHeight="1">
      <c r="A871" s="42"/>
      <c r="B871" s="753">
        <v>13</v>
      </c>
      <c r="C871" s="294" t="str">
        <f>'[1]4.NERACA'!C75</f>
        <v>Tanah Untuk Bangunan Bukan Gedung</v>
      </c>
      <c r="D871" s="295"/>
      <c r="E871" s="295"/>
      <c r="F871" s="295"/>
      <c r="G871" s="295"/>
      <c r="H871" s="295"/>
      <c r="I871" s="295"/>
      <c r="J871" s="295"/>
      <c r="K871" s="295"/>
      <c r="L871" s="295"/>
      <c r="M871" s="295"/>
      <c r="N871" s="295"/>
      <c r="O871" s="296"/>
      <c r="P871" s="757">
        <f>'[1]4.NERACA'!I75</f>
        <v>287107132534</v>
      </c>
      <c r="Q871" s="758"/>
      <c r="R871" s="758"/>
      <c r="S871" s="758"/>
      <c r="T871" s="758"/>
      <c r="U871" s="759"/>
      <c r="V871" s="27"/>
    </row>
    <row r="872" spans="1:32" s="20" customFormat="1" ht="19.5" customHeight="1">
      <c r="A872" s="42"/>
      <c r="B872" s="303" t="s">
        <v>143</v>
      </c>
      <c r="C872" s="304"/>
      <c r="D872" s="304"/>
      <c r="E872" s="304"/>
      <c r="F872" s="304"/>
      <c r="G872" s="304"/>
      <c r="H872" s="304"/>
      <c r="I872" s="304"/>
      <c r="J872" s="304"/>
      <c r="K872" s="304"/>
      <c r="L872" s="304"/>
      <c r="M872" s="304"/>
      <c r="N872" s="304"/>
      <c r="O872" s="305"/>
      <c r="P872" s="760">
        <f>SUM(P859:U871)</f>
        <v>289395101045</v>
      </c>
      <c r="Q872" s="761"/>
      <c r="R872" s="761"/>
      <c r="S872" s="761"/>
      <c r="T872" s="761"/>
      <c r="U872" s="762"/>
      <c r="V872" s="27"/>
    </row>
    <row r="873" spans="1:32" s="20" customFormat="1" ht="16.5" customHeight="1">
      <c r="A873" s="42"/>
      <c r="B873" s="763"/>
      <c r="C873" s="763"/>
      <c r="D873" s="763"/>
      <c r="E873" s="763"/>
      <c r="F873" s="763"/>
      <c r="G873" s="763"/>
      <c r="H873" s="763"/>
      <c r="I873" s="763"/>
      <c r="J873" s="763"/>
      <c r="K873" s="763"/>
      <c r="L873" s="763"/>
      <c r="M873" s="763"/>
      <c r="N873" s="763"/>
      <c r="O873" s="763"/>
      <c r="P873" s="763"/>
      <c r="Q873" s="763"/>
      <c r="R873" s="763"/>
      <c r="S873" s="763"/>
      <c r="T873" s="763"/>
      <c r="U873" s="763"/>
      <c r="V873" s="27"/>
    </row>
    <row r="874" spans="1:32" s="20" customFormat="1" ht="19.5" customHeight="1">
      <c r="A874" s="42"/>
      <c r="B874" s="724" t="s">
        <v>7</v>
      </c>
      <c r="C874" s="764" t="s">
        <v>406</v>
      </c>
      <c r="D874" s="764"/>
      <c r="E874" s="764"/>
      <c r="F874" s="764"/>
      <c r="G874" s="764"/>
      <c r="H874" s="764"/>
      <c r="I874" s="764"/>
      <c r="J874" s="764"/>
      <c r="K874" s="764"/>
      <c r="L874" s="764"/>
      <c r="M874" s="764"/>
      <c r="N874" s="764"/>
      <c r="O874" s="764"/>
      <c r="P874" s="764"/>
      <c r="Q874" s="764"/>
      <c r="R874" s="764"/>
      <c r="S874" s="764"/>
      <c r="T874" s="764"/>
      <c r="U874" s="764"/>
      <c r="V874" s="27"/>
    </row>
    <row r="875" spans="1:32" s="20" customFormat="1" ht="82.5" customHeight="1">
      <c r="A875" s="765"/>
      <c r="C875" s="313" t="str">
        <f>"Saldo aset tetap berupa peralatan dan mesin yang dimiliki  "&amp;'[1]2.ISIAN DATA SKPD'!D2&amp;" per "&amp;'[1]2.ISIAN DATA SKPD'!D8&amp;" dan  "&amp;'[1]2.ISIAN DATA SKPD'!D12&amp;" adalah sebesar Rp. "&amp;FIXED(R880)&amp;" dan Rp. "&amp;FIXED(B880)&amp;" naik/turun sebesar Rp. "&amp;FIXED(AC877)&amp;" atau "&amp;FIXED(Y877)&amp;"% dari tahun "&amp;'[1]2.ISIAN DATA SKPD'!D12&amp;"."</f>
        <v>Saldo aset tetap berupa peralatan dan mesin yang dimiliki  Dinas Pekerjaan Umum dan Penataan Ruang per 31 Desember 2017 dan  2016 adalah sebesar Rp. 10,668,719,670.00 dan Rp. 14,374,529,182.00 naik/turun sebesar Rp. -3,705,809,512.00 atau -25.78% dari tahun 2016.</v>
      </c>
      <c r="D875" s="313"/>
      <c r="E875" s="313"/>
      <c r="F875" s="313"/>
      <c r="G875" s="313"/>
      <c r="H875" s="313"/>
      <c r="I875" s="313"/>
      <c r="J875" s="313"/>
      <c r="K875" s="313"/>
      <c r="L875" s="313"/>
      <c r="M875" s="313"/>
      <c r="N875" s="313"/>
      <c r="O875" s="313"/>
      <c r="P875" s="313"/>
      <c r="Q875" s="313"/>
      <c r="R875" s="313"/>
      <c r="S875" s="313"/>
      <c r="T875" s="313"/>
      <c r="U875" s="313"/>
      <c r="V875" s="27"/>
    </row>
    <row r="876" spans="1:32" s="20" customFormat="1" ht="33" customHeight="1">
      <c r="A876" s="42"/>
      <c r="C876" s="313" t="s">
        <v>425</v>
      </c>
      <c r="D876" s="313"/>
      <c r="E876" s="313"/>
      <c r="F876" s="313"/>
      <c r="G876" s="313"/>
      <c r="H876" s="313"/>
      <c r="I876" s="313"/>
      <c r="J876" s="313"/>
      <c r="K876" s="313"/>
      <c r="L876" s="313"/>
      <c r="M876" s="313"/>
      <c r="N876" s="313"/>
      <c r="O876" s="313"/>
      <c r="P876" s="313"/>
      <c r="Q876" s="313"/>
      <c r="R876" s="313"/>
      <c r="S876" s="313"/>
      <c r="T876" s="313"/>
      <c r="U876" s="313"/>
      <c r="V876" s="431"/>
      <c r="W876" s="665"/>
      <c r="X876" s="666"/>
      <c r="Y876" s="451" t="s">
        <v>417</v>
      </c>
      <c r="Z876" s="665"/>
      <c r="AA876" s="665"/>
      <c r="AB876" s="666"/>
      <c r="AC876" s="712" t="s">
        <v>404</v>
      </c>
      <c r="AD876" s="713"/>
      <c r="AE876" s="713"/>
      <c r="AF876" s="713"/>
    </row>
    <row r="877" spans="1:32" s="20" customFormat="1" ht="17.25" customHeight="1">
      <c r="A877" s="42"/>
      <c r="C877" s="285"/>
      <c r="D877" s="285"/>
      <c r="E877" s="285"/>
      <c r="F877" s="285"/>
      <c r="G877" s="285"/>
      <c r="H877" s="285"/>
      <c r="I877" s="285"/>
      <c r="J877" s="285"/>
      <c r="K877" s="285"/>
      <c r="L877" s="285"/>
      <c r="M877" s="285"/>
      <c r="N877" s="285"/>
      <c r="O877" s="285"/>
      <c r="P877" s="285"/>
      <c r="Q877" s="285"/>
      <c r="R877" s="285"/>
      <c r="S877" s="285"/>
      <c r="T877" s="285"/>
      <c r="U877" s="285"/>
      <c r="V877" s="766"/>
      <c r="W877" s="169"/>
      <c r="X877" s="170"/>
      <c r="Y877" s="767">
        <f>(R880-B880)/B880*100</f>
        <v>-25.780388804945837</v>
      </c>
      <c r="Z877" s="169"/>
      <c r="AA877" s="169"/>
      <c r="AB877" s="170"/>
      <c r="AC877" s="451">
        <f>R880-B880</f>
        <v>-3705809512</v>
      </c>
      <c r="AD877" s="452"/>
      <c r="AE877" s="452"/>
      <c r="AF877" s="452"/>
    </row>
    <row r="878" spans="1:32" s="20" customFormat="1" ht="27" customHeight="1">
      <c r="A878" s="726" t="s">
        <v>84</v>
      </c>
      <c r="B878" s="727" t="s">
        <v>411</v>
      </c>
      <c r="C878" s="728"/>
      <c r="D878" s="728"/>
      <c r="E878" s="729"/>
      <c r="F878" s="730" t="s">
        <v>412</v>
      </c>
      <c r="G878" s="730"/>
      <c r="H878" s="730"/>
      <c r="I878" s="730"/>
      <c r="J878" s="730"/>
      <c r="K878" s="730"/>
      <c r="L878" s="730" t="s">
        <v>413</v>
      </c>
      <c r="M878" s="730"/>
      <c r="N878" s="730"/>
      <c r="O878" s="730"/>
      <c r="P878" s="730"/>
      <c r="Q878" s="730"/>
      <c r="R878" s="731" t="s">
        <v>414</v>
      </c>
      <c r="S878" s="731"/>
      <c r="T878" s="731"/>
      <c r="U878" s="731"/>
      <c r="V878" s="768"/>
      <c r="W878" s="169"/>
      <c r="X878" s="169"/>
      <c r="Y878" s="769">
        <v>10668719670</v>
      </c>
      <c r="Z878" s="770"/>
      <c r="AA878" s="770"/>
      <c r="AB878" s="770"/>
      <c r="AC878" s="465"/>
      <c r="AD878" s="465"/>
      <c r="AE878" s="465"/>
      <c r="AF878" s="465"/>
    </row>
    <row r="879" spans="1:32" s="20" customFormat="1" ht="33.75" customHeight="1">
      <c r="A879" s="732"/>
      <c r="B879" s="733">
        <f>B845</f>
        <v>2017</v>
      </c>
      <c r="C879" s="734"/>
      <c r="D879" s="734"/>
      <c r="E879" s="735"/>
      <c r="F879" s="731" t="s">
        <v>415</v>
      </c>
      <c r="G879" s="731"/>
      <c r="H879" s="731"/>
      <c r="I879" s="731" t="s">
        <v>416</v>
      </c>
      <c r="J879" s="731"/>
      <c r="K879" s="731"/>
      <c r="L879" s="731" t="s">
        <v>415</v>
      </c>
      <c r="M879" s="731"/>
      <c r="N879" s="731"/>
      <c r="O879" s="736" t="s">
        <v>416</v>
      </c>
      <c r="P879" s="736"/>
      <c r="Q879" s="736"/>
      <c r="R879" s="573">
        <f>R845</f>
        <v>2017</v>
      </c>
      <c r="S879" s="457"/>
      <c r="T879" s="457"/>
      <c r="U879" s="458"/>
    </row>
    <row r="880" spans="1:32" s="20" customFormat="1" ht="30.75" customHeight="1">
      <c r="A880" s="771" t="str">
        <f>C874</f>
        <v>Peralatan dan Mesin</v>
      </c>
      <c r="B880" s="743">
        <f>'[1]4.NERACA'!D76</f>
        <v>14374529182</v>
      </c>
      <c r="C880" s="744"/>
      <c r="D880" s="744"/>
      <c r="E880" s="745"/>
      <c r="F880" s="743">
        <f>'[1]4.NERACA'!E76</f>
        <v>1161035229</v>
      </c>
      <c r="G880" s="744"/>
      <c r="H880" s="745"/>
      <c r="I880" s="743">
        <f>'[1]4.NERACA'!F76</f>
        <v>1157725236</v>
      </c>
      <c r="J880" s="744"/>
      <c r="K880" s="745"/>
      <c r="L880" s="743">
        <f>'[1]4.NERACA'!G76</f>
        <v>1978971230</v>
      </c>
      <c r="M880" s="744"/>
      <c r="N880" s="745"/>
      <c r="O880" s="743">
        <f>'[1]4.NERACA'!H76</f>
        <v>5688090735</v>
      </c>
      <c r="P880" s="744"/>
      <c r="Q880" s="745"/>
      <c r="R880" s="743">
        <f>B880+F880-I880+L880-O880</f>
        <v>10668719670</v>
      </c>
      <c r="S880" s="744"/>
      <c r="T880" s="744"/>
      <c r="U880" s="745"/>
    </row>
    <row r="881" spans="1:40" s="20" customFormat="1" ht="14.25" customHeight="1">
      <c r="A881" s="14"/>
      <c r="B881" s="772"/>
      <c r="C881" s="772"/>
      <c r="D881" s="772"/>
      <c r="E881" s="772"/>
      <c r="F881" s="772"/>
      <c r="G881" s="772"/>
      <c r="H881" s="772"/>
      <c r="I881" s="772"/>
      <c r="J881" s="772"/>
      <c r="K881" s="772"/>
      <c r="L881" s="772"/>
      <c r="M881" s="772"/>
      <c r="N881" s="772"/>
      <c r="O881" s="772"/>
      <c r="P881" s="772"/>
      <c r="Q881" s="772"/>
      <c r="R881" s="772"/>
      <c r="S881" s="772"/>
      <c r="T881" s="772"/>
      <c r="U881" s="772"/>
    </row>
    <row r="882" spans="1:40" s="20" customFormat="1" ht="14.25" customHeight="1">
      <c r="A882" s="14"/>
      <c r="B882" s="428" t="s">
        <v>418</v>
      </c>
      <c r="C882" s="428"/>
      <c r="D882" s="428"/>
      <c r="E882" s="428"/>
      <c r="F882" s="428"/>
      <c r="G882" s="428"/>
      <c r="H882" s="428"/>
      <c r="I882" s="428"/>
      <c r="J882" s="428"/>
      <c r="K882" s="428"/>
      <c r="L882" s="428"/>
      <c r="M882" s="428"/>
      <c r="N882" s="428"/>
      <c r="O882" s="428"/>
      <c r="P882" s="428"/>
      <c r="Q882" s="428"/>
      <c r="R882" s="428"/>
      <c r="S882" s="428"/>
      <c r="T882" s="428"/>
      <c r="U882" s="428"/>
      <c r="V882" s="92"/>
      <c r="W882" s="614"/>
      <c r="X882" s="614"/>
      <c r="Y882" s="614"/>
      <c r="Z882" s="614"/>
      <c r="AA882" s="614"/>
      <c r="AB882" s="614"/>
      <c r="AC882" s="614"/>
      <c r="AD882" s="614"/>
      <c r="AE882" s="614"/>
      <c r="AF882" s="614"/>
    </row>
    <row r="883" spans="1:40" s="20" customFormat="1" ht="18.75" customHeight="1">
      <c r="A883" s="773" t="s">
        <v>426</v>
      </c>
      <c r="B883" s="774" t="s">
        <v>119</v>
      </c>
      <c r="C883" s="775" t="s">
        <v>427</v>
      </c>
      <c r="D883" s="775"/>
      <c r="E883" s="775"/>
      <c r="F883" s="775"/>
      <c r="G883" s="775"/>
      <c r="H883" s="775"/>
      <c r="I883" s="775"/>
      <c r="J883" s="775"/>
      <c r="K883" s="775"/>
      <c r="L883" s="775"/>
      <c r="M883" s="775"/>
      <c r="N883" s="775"/>
      <c r="O883" s="775"/>
      <c r="P883" s="775"/>
      <c r="Q883" s="775"/>
      <c r="R883" s="775"/>
      <c r="S883" s="775"/>
      <c r="T883" s="775"/>
      <c r="U883" s="775"/>
      <c r="V883" s="92"/>
      <c r="W883" s="614"/>
      <c r="X883" s="614"/>
      <c r="Y883" s="614"/>
      <c r="Z883" s="614"/>
      <c r="AA883" s="614"/>
      <c r="AB883" s="614"/>
      <c r="AC883" s="614"/>
      <c r="AD883" s="614"/>
      <c r="AE883" s="614"/>
      <c r="AF883" s="614"/>
    </row>
    <row r="884" spans="1:40" s="20" customFormat="1" ht="47.25" customHeight="1">
      <c r="A884" s="14"/>
      <c r="C884" s="313" t="str">
        <f>"Saldo aset tetap berupa Alat-alat Besar Darat  per "&amp;'[1]2.ISIAN DATA SKPD'!D8&amp;" dan  "&amp;'[1]2.ISIAN DATA SKPD'!D12&amp;" adalah sebesar Rp. "&amp;FIXED(R888)&amp;" dan Rp. "&amp;FIXED(B888)&amp;"."</f>
        <v>Saldo aset tetap berupa Alat-alat Besar Darat  per 31 Desember 2017 dan  2016 adalah sebesar Rp. 6,197,928,278.00 dan Rp. 9,105,539,059.00.</v>
      </c>
      <c r="D884" s="313"/>
      <c r="E884" s="313"/>
      <c r="F884" s="313"/>
      <c r="G884" s="313"/>
      <c r="H884" s="313"/>
      <c r="I884" s="313"/>
      <c r="J884" s="313"/>
      <c r="K884" s="313"/>
      <c r="L884" s="313"/>
      <c r="M884" s="313"/>
      <c r="N884" s="313"/>
      <c r="O884" s="313"/>
      <c r="P884" s="313"/>
      <c r="Q884" s="313"/>
      <c r="R884" s="313"/>
      <c r="S884" s="313"/>
      <c r="T884" s="313"/>
      <c r="U884" s="313"/>
      <c r="V884" s="27"/>
    </row>
    <row r="885" spans="1:40" s="20" customFormat="1" ht="18" customHeight="1">
      <c r="A885" s="14"/>
      <c r="C885" s="568" t="str">
        <f>"Dengan mutasi  selama tahun "&amp;'[1]2.ISIAN DATA SKPD'!D11&amp;" sebagai berikut :"</f>
        <v>Dengan mutasi  selama tahun 2017 sebagai berikut :</v>
      </c>
      <c r="D885" s="568"/>
      <c r="E885" s="568"/>
      <c r="F885" s="568"/>
      <c r="G885" s="568"/>
      <c r="H885" s="568"/>
      <c r="I885" s="568"/>
      <c r="J885" s="568"/>
      <c r="K885" s="568"/>
      <c r="L885" s="568"/>
      <c r="M885" s="568"/>
      <c r="N885" s="568"/>
      <c r="O885" s="568"/>
      <c r="P885" s="568"/>
      <c r="Q885" s="568"/>
      <c r="R885" s="568"/>
      <c r="S885" s="568"/>
      <c r="T885" s="568"/>
      <c r="U885" s="568"/>
      <c r="V885" s="27"/>
    </row>
    <row r="886" spans="1:40" s="20" customFormat="1" ht="22.5" customHeight="1">
      <c r="A886" s="726" t="s">
        <v>84</v>
      </c>
      <c r="B886" s="727" t="s">
        <v>411</v>
      </c>
      <c r="C886" s="728"/>
      <c r="D886" s="728"/>
      <c r="E886" s="729"/>
      <c r="F886" s="730" t="s">
        <v>412</v>
      </c>
      <c r="G886" s="730"/>
      <c r="H886" s="730"/>
      <c r="I886" s="730"/>
      <c r="J886" s="730"/>
      <c r="K886" s="730"/>
      <c r="L886" s="730" t="s">
        <v>413</v>
      </c>
      <c r="M886" s="730"/>
      <c r="N886" s="730"/>
      <c r="O886" s="730"/>
      <c r="P886" s="730"/>
      <c r="Q886" s="730"/>
      <c r="R886" s="731" t="s">
        <v>414</v>
      </c>
      <c r="S886" s="731"/>
      <c r="T886" s="731"/>
      <c r="U886" s="731"/>
      <c r="V886" s="27"/>
    </row>
    <row r="887" spans="1:40" s="20" customFormat="1" ht="15.75" customHeight="1">
      <c r="A887" s="732"/>
      <c r="B887" s="776">
        <f>B879</f>
        <v>2017</v>
      </c>
      <c r="C887" s="777"/>
      <c r="D887" s="777"/>
      <c r="E887" s="778"/>
      <c r="F887" s="731" t="s">
        <v>415</v>
      </c>
      <c r="G887" s="731"/>
      <c r="H887" s="731"/>
      <c r="I887" s="731" t="s">
        <v>416</v>
      </c>
      <c r="J887" s="731"/>
      <c r="K887" s="731"/>
      <c r="L887" s="731" t="s">
        <v>415</v>
      </c>
      <c r="M887" s="731"/>
      <c r="N887" s="731"/>
      <c r="O887" s="736" t="s">
        <v>416</v>
      </c>
      <c r="P887" s="736"/>
      <c r="Q887" s="736"/>
      <c r="R887" s="573">
        <f>R879</f>
        <v>2017</v>
      </c>
      <c r="S887" s="457"/>
      <c r="T887" s="457"/>
      <c r="U887" s="458"/>
      <c r="V887" s="27"/>
    </row>
    <row r="888" spans="1:40" s="20" customFormat="1" ht="32.25" customHeight="1">
      <c r="A888" s="771" t="str">
        <f>C883</f>
        <v>Alat-alat Besar Darat</v>
      </c>
      <c r="B888" s="779">
        <f>'[1]4.NERACA'!D77</f>
        <v>9105539059</v>
      </c>
      <c r="C888" s="780"/>
      <c r="D888" s="780"/>
      <c r="E888" s="781"/>
      <c r="F888" s="779">
        <f>'[1]4.NERACA'!E77</f>
        <v>1112029409</v>
      </c>
      <c r="G888" s="780"/>
      <c r="H888" s="781"/>
      <c r="I888" s="779">
        <f>'[1]4.NERACA'!F77</f>
        <v>0</v>
      </c>
      <c r="J888" s="780"/>
      <c r="K888" s="781"/>
      <c r="L888" s="779">
        <f>'[1]4.NERACA'!G77</f>
        <v>0</v>
      </c>
      <c r="M888" s="780"/>
      <c r="N888" s="781"/>
      <c r="O888" s="779">
        <f>'[1]4.NERACA'!H77</f>
        <v>4019640190</v>
      </c>
      <c r="P888" s="780"/>
      <c r="Q888" s="781"/>
      <c r="R888" s="779">
        <f>B888+F888-I888+L888-O888</f>
        <v>6197928278</v>
      </c>
      <c r="S888" s="780"/>
      <c r="T888" s="780"/>
      <c r="U888" s="781"/>
      <c r="V888" s="27"/>
    </row>
    <row r="889" spans="1:40" s="20" customFormat="1" ht="18" customHeight="1">
      <c r="A889" s="782"/>
      <c r="B889" s="429"/>
      <c r="C889" s="429"/>
      <c r="D889" s="429"/>
      <c r="E889" s="429"/>
      <c r="F889" s="429"/>
      <c r="G889" s="429"/>
      <c r="H889" s="429"/>
      <c r="I889" s="429"/>
      <c r="J889" s="429"/>
      <c r="K889" s="429"/>
      <c r="L889" s="429"/>
      <c r="M889" s="429"/>
      <c r="N889" s="429"/>
      <c r="O889" s="429"/>
      <c r="P889" s="429"/>
      <c r="Q889" s="429"/>
      <c r="R889" s="429"/>
      <c r="S889" s="429"/>
      <c r="T889" s="429"/>
      <c r="U889" s="429"/>
      <c r="V889" s="27"/>
    </row>
    <row r="890" spans="1:40" s="20" customFormat="1" ht="19.5" customHeight="1">
      <c r="A890" s="783"/>
      <c r="B890" s="784"/>
      <c r="C890" s="749" t="s">
        <v>428</v>
      </c>
      <c r="D890" s="749"/>
      <c r="E890" s="749"/>
      <c r="F890" s="749"/>
      <c r="G890" s="749"/>
      <c r="H890" s="749"/>
      <c r="I890" s="749"/>
      <c r="J890" s="749"/>
      <c r="K890" s="749"/>
      <c r="L890" s="749"/>
      <c r="M890" s="749"/>
      <c r="N890" s="749"/>
      <c r="O890" s="749"/>
      <c r="P890" s="749"/>
      <c r="Q890" s="749"/>
      <c r="R890" s="749"/>
      <c r="S890" s="749"/>
      <c r="T890" s="749"/>
      <c r="U890" s="749"/>
      <c r="V890" s="27"/>
    </row>
    <row r="891" spans="1:40" s="20" customFormat="1" ht="75.75" customHeight="1">
      <c r="A891" s="783"/>
      <c r="B891" s="784"/>
      <c r="C891" s="152" t="str">
        <f>"    Mutasi/Koreksi debet sebesar Rp. "&amp;FIXED(F888+L888)&amp;" berasal dari :Reklas Belanja Modal Peralatan dan Mesin - Pengadaan Alat laboratorium Buatan/Geologi ke alat besar darat senilai Rp.24.882.000 dan Pengadaan belanja modal TA 2017 sebesar Rp. 1.087.147.409. berupa,"</f>
        <v xml:space="preserve">    Mutasi/Koreksi debet sebesar Rp. 1,112,029,409.00 berasal dari :Reklas Belanja Modal Peralatan dan Mesin - Pengadaan Alat laboratorium Buatan/Geologi ke alat besar darat senilai Rp.24.882.000 dan Pengadaan belanja modal TA 2017 sebesar Rp. 1.087.147.409. berupa,</v>
      </c>
      <c r="D891" s="152"/>
      <c r="E891" s="152"/>
      <c r="F891" s="152"/>
      <c r="G891" s="152"/>
      <c r="H891" s="152"/>
      <c r="I891" s="152"/>
      <c r="J891" s="152"/>
      <c r="K891" s="152"/>
      <c r="L891" s="152"/>
      <c r="M891" s="152"/>
      <c r="N891" s="152"/>
      <c r="O891" s="152"/>
      <c r="P891" s="152"/>
      <c r="Q891" s="152"/>
      <c r="R891" s="152"/>
      <c r="S891" s="152"/>
      <c r="T891" s="152"/>
      <c r="U891" s="152"/>
      <c r="V891" s="27"/>
    </row>
    <row r="892" spans="1:40" s="20" customFormat="1" ht="3" customHeight="1">
      <c r="A892" s="782"/>
      <c r="B892" s="784"/>
      <c r="C892" s="152"/>
      <c r="D892" s="152"/>
      <c r="E892" s="152"/>
      <c r="F892" s="152"/>
      <c r="G892" s="152"/>
      <c r="H892" s="152"/>
      <c r="I892" s="152"/>
      <c r="J892" s="152"/>
      <c r="K892" s="152"/>
      <c r="L892" s="152"/>
      <c r="M892" s="152"/>
      <c r="N892" s="152"/>
      <c r="O892" s="152"/>
      <c r="P892" s="152"/>
      <c r="Q892" s="152"/>
      <c r="R892" s="152"/>
      <c r="S892" s="152"/>
      <c r="T892" s="152"/>
      <c r="U892" s="152"/>
      <c r="V892" s="27"/>
    </row>
    <row r="893" spans="1:40" s="20" customFormat="1" ht="47.25" customHeight="1">
      <c r="A893" s="782"/>
      <c r="B893" s="784"/>
      <c r="C893" s="152" t="s">
        <v>429</v>
      </c>
      <c r="D893" s="152"/>
      <c r="E893" s="152"/>
      <c r="F893" s="152"/>
      <c r="G893" s="152"/>
      <c r="H893" s="152"/>
      <c r="I893" s="152"/>
      <c r="J893" s="152"/>
      <c r="K893" s="152"/>
      <c r="L893" s="152"/>
      <c r="M893" s="152"/>
      <c r="N893" s="152"/>
      <c r="O893" s="152"/>
      <c r="P893" s="152"/>
      <c r="Q893" s="152"/>
      <c r="R893" s="152"/>
      <c r="S893" s="152"/>
      <c r="T893" s="152"/>
      <c r="U893" s="152"/>
      <c r="V893" s="27"/>
      <c r="AN893" s="765">
        <v>4019640190</v>
      </c>
    </row>
    <row r="894" spans="1:40" s="20" customFormat="1" ht="20.25" customHeight="1">
      <c r="A894" s="782"/>
      <c r="B894" s="784"/>
      <c r="C894" s="749" t="s">
        <v>430</v>
      </c>
      <c r="D894" s="749"/>
      <c r="E894" s="749"/>
      <c r="F894" s="749"/>
      <c r="G894" s="749"/>
      <c r="H894" s="749"/>
      <c r="I894" s="749"/>
      <c r="J894" s="749"/>
      <c r="K894" s="749"/>
      <c r="L894" s="749"/>
      <c r="M894" s="749"/>
      <c r="N894" s="749"/>
      <c r="O894" s="749"/>
      <c r="P894" s="749"/>
      <c r="Q894" s="749"/>
      <c r="R894" s="749"/>
      <c r="S894" s="749"/>
      <c r="T894" s="749"/>
      <c r="U894" s="749"/>
      <c r="V894" s="27"/>
      <c r="AN894" s="765">
        <v>180000000</v>
      </c>
    </row>
    <row r="895" spans="1:40" s="20" customFormat="1" ht="21" customHeight="1">
      <c r="A895" s="782"/>
      <c r="B895" s="784"/>
      <c r="C895" s="152" t="str">
        <f>"    Mutasi/Koreksi kredit sebesar Rp. "&amp;FIXED(I888+O888)&amp;" karena :"</f>
        <v xml:space="preserve">    Mutasi/Koreksi kredit sebesar Rp. 4,019,640,190.00 karena :</v>
      </c>
      <c r="D895" s="152"/>
      <c r="E895" s="152"/>
      <c r="F895" s="152"/>
      <c r="G895" s="152"/>
      <c r="H895" s="152"/>
      <c r="I895" s="152"/>
      <c r="J895" s="152"/>
      <c r="K895" s="152"/>
      <c r="L895" s="152"/>
      <c r="M895" s="152"/>
      <c r="N895" s="152"/>
      <c r="O895" s="152"/>
      <c r="P895" s="152"/>
      <c r="Q895" s="152"/>
      <c r="R895" s="152"/>
      <c r="S895" s="152"/>
      <c r="T895" s="152"/>
      <c r="U895" s="152"/>
      <c r="V895" s="27"/>
      <c r="AN895" s="765"/>
    </row>
    <row r="896" spans="1:40" s="20" customFormat="1" ht="54.75" customHeight="1">
      <c r="A896" s="782"/>
      <c r="B896" s="784"/>
      <c r="C896" s="354" t="s">
        <v>431</v>
      </c>
      <c r="D896" s="354"/>
      <c r="E896" s="354"/>
      <c r="F896" s="354"/>
      <c r="G896" s="354"/>
      <c r="H896" s="354"/>
      <c r="I896" s="354"/>
      <c r="J896" s="354"/>
      <c r="K896" s="354"/>
      <c r="L896" s="354"/>
      <c r="M896" s="354"/>
      <c r="N896" s="354"/>
      <c r="O896" s="354"/>
      <c r="P896" s="354"/>
      <c r="Q896" s="354"/>
      <c r="R896" s="354"/>
      <c r="S896" s="354"/>
      <c r="T896" s="354"/>
      <c r="U896" s="354"/>
      <c r="V896" s="27"/>
      <c r="AN896" s="785">
        <f>AN893-AN894</f>
        <v>3839640190</v>
      </c>
    </row>
    <row r="897" spans="1:22" s="20" customFormat="1" ht="20.25" customHeight="1">
      <c r="A897" s="14"/>
      <c r="B897" s="774" t="s">
        <v>112</v>
      </c>
      <c r="C897" s="775" t="s">
        <v>432</v>
      </c>
      <c r="D897" s="775"/>
      <c r="E897" s="775"/>
      <c r="F897" s="775"/>
      <c r="G897" s="775"/>
      <c r="H897" s="775"/>
      <c r="I897" s="775"/>
      <c r="J897" s="775"/>
      <c r="K897" s="775"/>
      <c r="L897" s="775"/>
      <c r="M897" s="775"/>
      <c r="N897" s="775"/>
      <c r="O897" s="775"/>
      <c r="P897" s="775"/>
      <c r="Q897" s="775"/>
      <c r="R897" s="775"/>
      <c r="S897" s="775"/>
      <c r="T897" s="775"/>
      <c r="U897" s="775"/>
      <c r="V897" s="27"/>
    </row>
    <row r="898" spans="1:22" s="20" customFormat="1" ht="33" customHeight="1">
      <c r="A898" s="14"/>
      <c r="C898" s="313" t="str">
        <f>"Nilai aset tetap berupa Alat-alat Bantu  per "&amp;'[1]2.ISIAN DATA SKPD'!D8&amp;" dan  "&amp;'[1]2.ISIAN DATA SKPD'!D17&amp;" adalah sebesar Rp. "&amp;FIXED(R903)&amp;" dan Rp. "&amp;FIXED(B903)&amp;"."</f>
        <v>Nilai aset tetap berupa Alat-alat Bantu  per 31 Desember 2017 dan   adalah sebesar Rp. 156,885,591.00 dan Rp. 416,583,591.00.</v>
      </c>
      <c r="D898" s="313"/>
      <c r="E898" s="313"/>
      <c r="F898" s="313"/>
      <c r="G898" s="313"/>
      <c r="H898" s="313"/>
      <c r="I898" s="313"/>
      <c r="J898" s="313"/>
      <c r="K898" s="313"/>
      <c r="L898" s="313"/>
      <c r="M898" s="313"/>
      <c r="N898" s="313"/>
      <c r="O898" s="313"/>
      <c r="P898" s="313"/>
      <c r="Q898" s="313"/>
      <c r="R898" s="313"/>
      <c r="S898" s="313"/>
      <c r="T898" s="313"/>
      <c r="U898" s="313"/>
      <c r="V898" s="27"/>
    </row>
    <row r="899" spans="1:22" s="20" customFormat="1" ht="21.75" customHeight="1">
      <c r="A899" s="14"/>
      <c r="C899" s="313" t="str">
        <f>"Dengan mutasi  selama tahun "&amp;'[1]2.ISIAN DATA SKPD'!D11&amp;" sebagai berikut :"</f>
        <v>Dengan mutasi  selama tahun 2017 sebagai berikut :</v>
      </c>
      <c r="D899" s="313"/>
      <c r="E899" s="313"/>
      <c r="F899" s="313"/>
      <c r="G899" s="313"/>
      <c r="H899" s="313"/>
      <c r="I899" s="313"/>
      <c r="J899" s="313"/>
      <c r="K899" s="313"/>
      <c r="L899" s="313"/>
      <c r="M899" s="313"/>
      <c r="N899" s="313"/>
      <c r="O899" s="313"/>
      <c r="P899" s="313"/>
      <c r="Q899" s="313"/>
      <c r="R899" s="313"/>
      <c r="S899" s="313"/>
      <c r="T899" s="313"/>
      <c r="U899" s="313"/>
      <c r="V899" s="27"/>
    </row>
    <row r="900" spans="1:22" s="20" customFormat="1" ht="9.75" customHeight="1">
      <c r="A900" s="14"/>
      <c r="C900" s="285"/>
      <c r="D900" s="285"/>
      <c r="E900" s="285"/>
      <c r="F900" s="285"/>
      <c r="G900" s="285"/>
      <c r="H900" s="285"/>
      <c r="I900" s="285"/>
      <c r="J900" s="285"/>
      <c r="K900" s="285"/>
      <c r="L900" s="285"/>
      <c r="M900" s="285"/>
      <c r="N900" s="285"/>
      <c r="O900" s="285"/>
      <c r="P900" s="285"/>
      <c r="Q900" s="285"/>
      <c r="R900" s="285"/>
      <c r="S900" s="285"/>
      <c r="T900" s="285"/>
      <c r="U900" s="285"/>
      <c r="V900" s="27"/>
    </row>
    <row r="901" spans="1:22" s="20" customFormat="1" ht="23.25" customHeight="1">
      <c r="A901" s="726" t="s">
        <v>84</v>
      </c>
      <c r="B901" s="573" t="s">
        <v>411</v>
      </c>
      <c r="C901" s="457"/>
      <c r="D901" s="457"/>
      <c r="E901" s="458"/>
      <c r="F901" s="786" t="s">
        <v>412</v>
      </c>
      <c r="G901" s="786"/>
      <c r="H901" s="786"/>
      <c r="I901" s="786"/>
      <c r="J901" s="786"/>
      <c r="K901" s="786"/>
      <c r="L901" s="786" t="s">
        <v>413</v>
      </c>
      <c r="M901" s="786"/>
      <c r="N901" s="786"/>
      <c r="O901" s="786"/>
      <c r="P901" s="786"/>
      <c r="Q901" s="786"/>
      <c r="R901" s="99" t="s">
        <v>414</v>
      </c>
      <c r="S901" s="99"/>
      <c r="T901" s="99"/>
      <c r="U901" s="99"/>
      <c r="V901" s="27"/>
    </row>
    <row r="902" spans="1:22" s="20" customFormat="1" ht="21" customHeight="1">
      <c r="A902" s="732"/>
      <c r="B902" s="787">
        <f>B887</f>
        <v>2017</v>
      </c>
      <c r="C902" s="788"/>
      <c r="D902" s="788"/>
      <c r="E902" s="789"/>
      <c r="F902" s="99" t="s">
        <v>415</v>
      </c>
      <c r="G902" s="99"/>
      <c r="H902" s="99"/>
      <c r="I902" s="99" t="s">
        <v>416</v>
      </c>
      <c r="J902" s="99"/>
      <c r="K902" s="99"/>
      <c r="L902" s="99" t="s">
        <v>415</v>
      </c>
      <c r="M902" s="99"/>
      <c r="N902" s="99"/>
      <c r="O902" s="790" t="s">
        <v>416</v>
      </c>
      <c r="P902" s="790"/>
      <c r="Q902" s="790"/>
      <c r="R902" s="776">
        <f>R887</f>
        <v>2017</v>
      </c>
      <c r="S902" s="791"/>
      <c r="T902" s="791"/>
      <c r="U902" s="792"/>
      <c r="V902" s="27"/>
    </row>
    <row r="903" spans="1:22" s="20" customFormat="1" ht="22.5" customHeight="1">
      <c r="A903" s="771" t="str">
        <f>C897</f>
        <v>Alat-alat Bantu</v>
      </c>
      <c r="B903" s="686">
        <f>'[1]4.NERACA'!D78</f>
        <v>416583591</v>
      </c>
      <c r="C903" s="687"/>
      <c r="D903" s="687"/>
      <c r="E903" s="688"/>
      <c r="F903" s="686">
        <f>'[1]4.NERACA'!E78</f>
        <v>0</v>
      </c>
      <c r="G903" s="687"/>
      <c r="H903" s="688"/>
      <c r="I903" s="686">
        <f>'[1]4.NERACA'!F78</f>
        <v>0</v>
      </c>
      <c r="J903" s="687"/>
      <c r="K903" s="688"/>
      <c r="L903" s="686">
        <f>'[1]4.NERACA'!G78</f>
        <v>0</v>
      </c>
      <c r="M903" s="687"/>
      <c r="N903" s="688"/>
      <c r="O903" s="779">
        <f>'[1]4.NERACA'!H78</f>
        <v>259698000</v>
      </c>
      <c r="P903" s="780"/>
      <c r="Q903" s="781"/>
      <c r="R903" s="686">
        <f>'[1]4.NERACA'!I78</f>
        <v>156885591</v>
      </c>
      <c r="S903" s="687"/>
      <c r="T903" s="687"/>
      <c r="U903" s="688"/>
      <c r="V903" s="27"/>
    </row>
    <row r="904" spans="1:22" s="20" customFormat="1" ht="20.25" customHeight="1">
      <c r="A904" s="782"/>
      <c r="B904" s="784"/>
      <c r="D904" s="784"/>
      <c r="E904" s="784"/>
      <c r="F904" s="793"/>
      <c r="G904" s="793"/>
      <c r="H904" s="793"/>
      <c r="I904" s="793"/>
      <c r="J904" s="793"/>
      <c r="K904" s="793"/>
      <c r="L904" s="793"/>
      <c r="M904" s="793"/>
      <c r="N904" s="793"/>
      <c r="O904" s="793"/>
      <c r="P904" s="793"/>
      <c r="Q904" s="793"/>
      <c r="R904" s="784"/>
      <c r="S904" s="784"/>
      <c r="T904" s="784"/>
      <c r="U904" s="784"/>
      <c r="V904" s="27"/>
    </row>
    <row r="905" spans="1:22" s="20" customFormat="1" ht="14.25" customHeight="1">
      <c r="A905" s="794"/>
      <c r="B905" s="784"/>
      <c r="C905" s="749" t="s">
        <v>428</v>
      </c>
      <c r="D905" s="749"/>
      <c r="E905" s="749"/>
      <c r="F905" s="749"/>
      <c r="G905" s="749"/>
      <c r="H905" s="749"/>
      <c r="I905" s="749"/>
      <c r="J905" s="749"/>
      <c r="K905" s="749"/>
      <c r="L905" s="749"/>
      <c r="M905" s="749"/>
      <c r="N905" s="749"/>
      <c r="O905" s="749"/>
      <c r="P905" s="749"/>
      <c r="Q905" s="749"/>
      <c r="R905" s="749"/>
      <c r="S905" s="749"/>
      <c r="T905" s="749"/>
      <c r="U905" s="749"/>
      <c r="V905" s="27"/>
    </row>
    <row r="906" spans="1:22" s="20" customFormat="1" ht="18.75" customHeight="1">
      <c r="A906" s="782"/>
      <c r="B906" s="784"/>
      <c r="C906" s="152" t="str">
        <f>"    Mutasi/Koreksi debet sebesar Rp. "&amp;FIXED(F903+L903)&amp;" "</f>
        <v xml:space="preserve">    Mutasi/Koreksi debet sebesar Rp. 0.00 </v>
      </c>
      <c r="D906" s="152"/>
      <c r="E906" s="152"/>
      <c r="F906" s="152"/>
      <c r="G906" s="152"/>
      <c r="H906" s="152"/>
      <c r="I906" s="152"/>
      <c r="J906" s="152"/>
      <c r="K906" s="152"/>
      <c r="L906" s="152"/>
      <c r="M906" s="152"/>
      <c r="N906" s="152"/>
      <c r="O906" s="152"/>
      <c r="P906" s="152"/>
      <c r="Q906" s="152"/>
      <c r="R906" s="152"/>
      <c r="S906" s="152"/>
      <c r="T906" s="152"/>
      <c r="U906" s="152"/>
      <c r="V906" s="27"/>
    </row>
    <row r="907" spans="1:22" s="20" customFormat="1" ht="18" customHeight="1">
      <c r="A907" s="782"/>
      <c r="B907" s="784"/>
      <c r="C907" s="152" t="s">
        <v>433</v>
      </c>
      <c r="D907" s="152"/>
      <c r="E907" s="152"/>
      <c r="F907" s="152"/>
      <c r="G907" s="152"/>
      <c r="H907" s="152"/>
      <c r="I907" s="152"/>
      <c r="J907" s="152"/>
      <c r="K907" s="152"/>
      <c r="L907" s="152"/>
      <c r="M907" s="152"/>
      <c r="N907" s="152"/>
      <c r="O907" s="152"/>
      <c r="P907" s="152"/>
      <c r="Q907" s="152"/>
      <c r="R907" s="152"/>
      <c r="S907" s="152"/>
      <c r="T907" s="152"/>
      <c r="U907" s="152"/>
      <c r="V907" s="27"/>
    </row>
    <row r="908" spans="1:22" s="20" customFormat="1" ht="8.25" customHeight="1">
      <c r="A908" s="782"/>
      <c r="B908" s="784"/>
      <c r="C908" s="152"/>
      <c r="D908" s="152"/>
      <c r="E908" s="152"/>
      <c r="F908" s="152"/>
      <c r="G908" s="152"/>
      <c r="H908" s="152"/>
      <c r="I908" s="152"/>
      <c r="J908" s="152"/>
      <c r="K908" s="152"/>
      <c r="L908" s="152"/>
      <c r="M908" s="152"/>
      <c r="N908" s="152"/>
      <c r="O908" s="152"/>
      <c r="P908" s="152"/>
      <c r="Q908" s="152"/>
      <c r="R908" s="152"/>
      <c r="S908" s="152"/>
      <c r="T908" s="152"/>
      <c r="U908" s="152"/>
      <c r="V908" s="27"/>
    </row>
    <row r="909" spans="1:22" s="20" customFormat="1" ht="14.25" customHeight="1">
      <c r="A909" s="782"/>
      <c r="B909" s="784"/>
      <c r="C909" s="749" t="s">
        <v>430</v>
      </c>
      <c r="D909" s="749"/>
      <c r="E909" s="749"/>
      <c r="F909" s="749"/>
      <c r="G909" s="749"/>
      <c r="H909" s="749"/>
      <c r="I909" s="749"/>
      <c r="J909" s="749"/>
      <c r="K909" s="749"/>
      <c r="L909" s="749"/>
      <c r="M909" s="749"/>
      <c r="N909" s="749"/>
      <c r="O909" s="749"/>
      <c r="P909" s="749"/>
      <c r="Q909" s="749"/>
      <c r="R909" s="749"/>
      <c r="S909" s="749"/>
      <c r="T909" s="749"/>
      <c r="U909" s="749"/>
      <c r="V909" s="27"/>
    </row>
    <row r="910" spans="1:22" s="20" customFormat="1" ht="14.25" customHeight="1">
      <c r="A910" s="782"/>
      <c r="B910" s="784"/>
      <c r="C910" s="152" t="str">
        <f>"    Mutasi/Koreksi kredit sebesar Rp. "&amp;FIXED(I903+O903)&amp;" karena :"</f>
        <v xml:space="preserve">    Mutasi/Koreksi kredit sebesar Rp. 259,698,000.00 karena :</v>
      </c>
      <c r="D910" s="152"/>
      <c r="E910" s="152"/>
      <c r="F910" s="152"/>
      <c r="G910" s="152"/>
      <c r="H910" s="152"/>
      <c r="I910" s="152"/>
      <c r="J910" s="152"/>
      <c r="K910" s="152"/>
      <c r="L910" s="152"/>
      <c r="M910" s="152"/>
      <c r="N910" s="152"/>
      <c r="O910" s="152"/>
      <c r="P910" s="152"/>
      <c r="Q910" s="152"/>
      <c r="R910" s="152"/>
      <c r="S910" s="152"/>
      <c r="T910" s="152"/>
      <c r="U910" s="152"/>
      <c r="V910" s="27"/>
    </row>
    <row r="911" spans="1:22" s="20" customFormat="1" ht="51.75" customHeight="1">
      <c r="A911" s="782"/>
      <c r="B911" s="784"/>
      <c r="C911" s="354" t="s">
        <v>434</v>
      </c>
      <c r="D911" s="354"/>
      <c r="E911" s="354"/>
      <c r="F911" s="354"/>
      <c r="G911" s="354"/>
      <c r="H911" s="354"/>
      <c r="I911" s="354"/>
      <c r="J911" s="354"/>
      <c r="K911" s="354"/>
      <c r="L911" s="354"/>
      <c r="M911" s="354"/>
      <c r="N911" s="354"/>
      <c r="O911" s="354"/>
      <c r="P911" s="354"/>
      <c r="Q911" s="354"/>
      <c r="R911" s="354"/>
      <c r="S911" s="354"/>
      <c r="T911" s="354"/>
      <c r="U911" s="354"/>
      <c r="V911" s="27"/>
    </row>
    <row r="912" spans="1:22" s="20" customFormat="1" ht="9" customHeight="1">
      <c r="A912" s="782"/>
      <c r="B912" s="784"/>
      <c r="D912" s="784"/>
      <c r="E912" s="784"/>
      <c r="F912" s="793"/>
      <c r="G912" s="793"/>
      <c r="H912" s="793"/>
      <c r="I912" s="793"/>
      <c r="J912" s="793"/>
      <c r="K912" s="793"/>
      <c r="L912" s="793"/>
      <c r="M912" s="793"/>
      <c r="N912" s="793"/>
      <c r="O912" s="793"/>
      <c r="P912" s="793"/>
      <c r="Q912" s="793"/>
      <c r="R912" s="784"/>
      <c r="S912" s="784"/>
      <c r="T912" s="784"/>
      <c r="U912" s="784"/>
      <c r="V912" s="27"/>
    </row>
    <row r="913" spans="1:40" s="20" customFormat="1" ht="14.25" customHeight="1">
      <c r="A913" s="782"/>
      <c r="B913" s="784"/>
      <c r="D913" s="784"/>
      <c r="E913" s="784"/>
      <c r="F913" s="793"/>
      <c r="G913" s="793"/>
      <c r="H913" s="793"/>
      <c r="I913" s="793"/>
      <c r="J913" s="793"/>
      <c r="K913" s="793"/>
      <c r="L913" s="793"/>
      <c r="M913" s="793"/>
      <c r="N913" s="793"/>
      <c r="O913" s="793"/>
      <c r="P913" s="793"/>
      <c r="Q913" s="793"/>
      <c r="R913" s="784"/>
      <c r="S913" s="784"/>
      <c r="T913" s="784"/>
      <c r="U913" s="784"/>
      <c r="V913" s="27"/>
    </row>
    <row r="914" spans="1:40" s="20" customFormat="1" ht="21" customHeight="1">
      <c r="A914" s="14"/>
      <c r="B914" s="774" t="s">
        <v>113</v>
      </c>
      <c r="C914" s="775" t="s">
        <v>435</v>
      </c>
      <c r="D914" s="775"/>
      <c r="E914" s="775"/>
      <c r="F914" s="775"/>
      <c r="G914" s="775"/>
      <c r="H914" s="775"/>
      <c r="I914" s="775"/>
      <c r="J914" s="775"/>
      <c r="K914" s="775"/>
      <c r="L914" s="775"/>
      <c r="M914" s="775"/>
      <c r="N914" s="775"/>
      <c r="O914" s="775"/>
      <c r="P914" s="775"/>
      <c r="Q914" s="775"/>
      <c r="R914" s="775"/>
      <c r="S914" s="775"/>
      <c r="T914" s="775"/>
      <c r="U914" s="775"/>
      <c r="V914" s="27"/>
    </row>
    <row r="915" spans="1:40" s="20" customFormat="1" ht="51.75" customHeight="1">
      <c r="A915" s="14"/>
      <c r="C915" s="313" t="str">
        <f>"Saldo aset tetap berupa alat angkutan darat bermotor  per "&amp;'[1]2.ISIAN DATA SKPD'!D8&amp;" dan  "&amp;'[1]2.ISIAN DATA SKPD'!D12&amp;" adalah sebesar Rp. "&amp;FIXED(R920)&amp;" dan Rp. "&amp;FIXED(B920)&amp;"."</f>
        <v>Saldo aset tetap berupa alat angkutan darat bermotor  per 31 Desember 2017 dan  2016 adalah sebesar Rp. 2,523,484,754.00 dan Rp. 2,166,088,013.00.</v>
      </c>
      <c r="D915" s="313"/>
      <c r="E915" s="313"/>
      <c r="F915" s="313"/>
      <c r="G915" s="313"/>
      <c r="H915" s="313"/>
      <c r="I915" s="313"/>
      <c r="J915" s="313"/>
      <c r="K915" s="313"/>
      <c r="L915" s="313"/>
      <c r="M915" s="313"/>
      <c r="N915" s="313"/>
      <c r="O915" s="313"/>
      <c r="P915" s="313"/>
      <c r="Q915" s="313"/>
      <c r="R915" s="313"/>
      <c r="S915" s="313"/>
      <c r="T915" s="313"/>
      <c r="U915" s="313"/>
      <c r="V915" s="27"/>
    </row>
    <row r="916" spans="1:40" s="20" customFormat="1" ht="21" customHeight="1">
      <c r="A916" s="14"/>
      <c r="B916" s="285"/>
      <c r="C916" s="313" t="str">
        <f>"Dengan mutasi  selama tahun "&amp;'[1]2.ISIAN DATA SKPD'!D23&amp;" sebagai berikut :"</f>
        <v>Dengan mutasi  selama tahun  sebagai berikut :</v>
      </c>
      <c r="D916" s="313"/>
      <c r="E916" s="313"/>
      <c r="F916" s="313"/>
      <c r="G916" s="313"/>
      <c r="H916" s="313"/>
      <c r="I916" s="313"/>
      <c r="J916" s="313"/>
      <c r="K916" s="313"/>
      <c r="L916" s="313"/>
      <c r="M916" s="313"/>
      <c r="N916" s="313"/>
      <c r="O916" s="313"/>
      <c r="P916" s="313"/>
      <c r="Q916" s="313"/>
      <c r="R916" s="313"/>
      <c r="S916" s="313"/>
      <c r="T916" s="313"/>
      <c r="U916" s="313"/>
      <c r="V916" s="27"/>
    </row>
    <row r="917" spans="1:40" s="20" customFormat="1" ht="10.5" customHeight="1">
      <c r="A917" s="14"/>
      <c r="B917" s="285"/>
      <c r="C917" s="285"/>
      <c r="D917" s="285"/>
      <c r="E917" s="285"/>
      <c r="F917" s="285"/>
      <c r="G917" s="285"/>
      <c r="H917" s="285"/>
      <c r="I917" s="285"/>
      <c r="J917" s="285"/>
      <c r="K917" s="285"/>
      <c r="L917" s="285"/>
      <c r="M917" s="285"/>
      <c r="N917" s="285"/>
      <c r="O917" s="285"/>
      <c r="P917" s="285"/>
      <c r="Q917" s="285"/>
      <c r="R917" s="285"/>
      <c r="S917" s="285"/>
      <c r="T917" s="285"/>
      <c r="U917" s="285"/>
      <c r="V917" s="27"/>
    </row>
    <row r="918" spans="1:40" s="20" customFormat="1" ht="26.25" customHeight="1">
      <c r="A918" s="726" t="s">
        <v>84</v>
      </c>
      <c r="B918" s="573" t="s">
        <v>411</v>
      </c>
      <c r="C918" s="457"/>
      <c r="D918" s="457"/>
      <c r="E918" s="458"/>
      <c r="F918" s="786" t="s">
        <v>412</v>
      </c>
      <c r="G918" s="786"/>
      <c r="H918" s="786"/>
      <c r="I918" s="786"/>
      <c r="J918" s="786"/>
      <c r="K918" s="786"/>
      <c r="L918" s="786" t="s">
        <v>413</v>
      </c>
      <c r="M918" s="786"/>
      <c r="N918" s="786"/>
      <c r="O918" s="786"/>
      <c r="P918" s="786"/>
      <c r="Q918" s="786"/>
      <c r="R918" s="99" t="s">
        <v>414</v>
      </c>
      <c r="S918" s="99"/>
      <c r="T918" s="99"/>
      <c r="U918" s="99"/>
      <c r="V918" s="27"/>
    </row>
    <row r="919" spans="1:40" s="20" customFormat="1" ht="15" customHeight="1">
      <c r="A919" s="732"/>
      <c r="B919" s="787">
        <f>B902</f>
        <v>2017</v>
      </c>
      <c r="C919" s="788"/>
      <c r="D919" s="788"/>
      <c r="E919" s="789"/>
      <c r="F919" s="99" t="s">
        <v>415</v>
      </c>
      <c r="G919" s="99"/>
      <c r="H919" s="99"/>
      <c r="I919" s="99" t="s">
        <v>416</v>
      </c>
      <c r="J919" s="99"/>
      <c r="K919" s="99"/>
      <c r="L919" s="99" t="s">
        <v>415</v>
      </c>
      <c r="M919" s="99"/>
      <c r="N919" s="99"/>
      <c r="O919" s="790" t="s">
        <v>416</v>
      </c>
      <c r="P919" s="790"/>
      <c r="Q919" s="790"/>
      <c r="R919" s="776">
        <f>R902</f>
        <v>2017</v>
      </c>
      <c r="S919" s="791"/>
      <c r="T919" s="791"/>
      <c r="U919" s="792"/>
      <c r="V919" s="27"/>
    </row>
    <row r="920" spans="1:40" s="20" customFormat="1" ht="44.25" customHeight="1">
      <c r="A920" s="771" t="str">
        <f>C914</f>
        <v>Alat Angkutan Darat Bermotor</v>
      </c>
      <c r="B920" s="686">
        <f>'[1]4.NERACA'!D79</f>
        <v>2166088013</v>
      </c>
      <c r="C920" s="687"/>
      <c r="D920" s="687"/>
      <c r="E920" s="688"/>
      <c r="F920" s="686">
        <f>'[1]4.NERACA'!E79</f>
        <v>0</v>
      </c>
      <c r="G920" s="687"/>
      <c r="H920" s="688"/>
      <c r="I920" s="779">
        <f>'[1]4.NERACA'!F79</f>
        <v>1087147409</v>
      </c>
      <c r="J920" s="780"/>
      <c r="K920" s="781"/>
      <c r="L920" s="779">
        <f>'[1]4.NERACA'!G79</f>
        <v>1799544150</v>
      </c>
      <c r="M920" s="780"/>
      <c r="N920" s="781"/>
      <c r="O920" s="779">
        <f>'[1]4.NERACA'!H79</f>
        <v>355000000</v>
      </c>
      <c r="P920" s="780"/>
      <c r="Q920" s="781"/>
      <c r="R920" s="686">
        <f>'[1]4.NERACA'!I79</f>
        <v>2523484754</v>
      </c>
      <c r="S920" s="687"/>
      <c r="T920" s="687"/>
      <c r="U920" s="688"/>
      <c r="V920" s="27"/>
    </row>
    <row r="921" spans="1:40" s="20" customFormat="1" ht="29.25" customHeight="1">
      <c r="A921" s="782"/>
      <c r="B921" s="772" t="s">
        <v>436</v>
      </c>
      <c r="C921" s="772"/>
      <c r="D921" s="772"/>
      <c r="E921" s="772"/>
      <c r="F921" s="772"/>
      <c r="G921" s="772"/>
      <c r="H921" s="772"/>
      <c r="I921" s="772"/>
      <c r="J921" s="772"/>
      <c r="K921" s="772"/>
      <c r="L921" s="772"/>
      <c r="M921" s="772"/>
      <c r="N921" s="772"/>
      <c r="O921" s="772"/>
      <c r="P921" s="772"/>
      <c r="Q921" s="772"/>
      <c r="R921" s="772"/>
      <c r="S921" s="772"/>
      <c r="T921" s="772"/>
      <c r="U921" s="772"/>
      <c r="V921" s="27"/>
    </row>
    <row r="922" spans="1:40" s="20" customFormat="1" ht="23.25" customHeight="1">
      <c r="A922" s="782"/>
      <c r="B922" s="795"/>
      <c r="C922" s="428" t="s">
        <v>428</v>
      </c>
      <c r="D922" s="428"/>
      <c r="E922" s="428"/>
      <c r="F922" s="428"/>
      <c r="G922" s="428"/>
      <c r="H922" s="428"/>
      <c r="I922" s="428"/>
      <c r="J922" s="428"/>
      <c r="K922" s="428"/>
      <c r="L922" s="428"/>
      <c r="M922" s="428"/>
      <c r="N922" s="428"/>
      <c r="O922" s="428"/>
      <c r="P922" s="428"/>
      <c r="Q922" s="428"/>
      <c r="R922" s="428"/>
      <c r="S922" s="428"/>
      <c r="T922" s="428"/>
      <c r="U922" s="428"/>
      <c r="V922" s="27"/>
    </row>
    <row r="923" spans="1:40" s="20" customFormat="1" ht="68.25" customHeight="1">
      <c r="A923" s="782"/>
      <c r="B923" s="442"/>
      <c r="C923" s="354" t="str">
        <f>"Mutasi  Debet sebesar Rp. "&amp;FIXED(F920+L920)&amp;" adalah hasil pengadaan barang tahun "&amp;'[1]2.ISIAN DATA SKPD'!D11&amp;" dari belanja modal berupa Truck dan High Jack sefloader dan mutasi dari SKPD lain berupa Mobil Avanza dan Toyota Kijang"</f>
        <v>Mutasi  Debet sebesar Rp. 1,799,544,150.00 adalah hasil pengadaan barang tahun 2017 dari belanja modal berupa Truck dan High Jack sefloader dan mutasi dari SKPD lain berupa Mobil Avanza dan Toyota Kijang</v>
      </c>
      <c r="D923" s="354"/>
      <c r="E923" s="354"/>
      <c r="F923" s="354"/>
      <c r="G923" s="354"/>
      <c r="H923" s="354"/>
      <c r="I923" s="354"/>
      <c r="J923" s="354"/>
      <c r="K923" s="354"/>
      <c r="L923" s="354"/>
      <c r="M923" s="354"/>
      <c r="N923" s="354"/>
      <c r="O923" s="354"/>
      <c r="P923" s="354"/>
      <c r="Q923" s="354"/>
      <c r="R923" s="354"/>
      <c r="S923" s="354"/>
      <c r="T923" s="354"/>
      <c r="U923" s="354"/>
      <c r="V923" s="27"/>
      <c r="Z923" s="796"/>
      <c r="AN923" s="20">
        <v>350000000</v>
      </c>
    </row>
    <row r="924" spans="1:40" s="20" customFormat="1" ht="22.5" customHeight="1">
      <c r="A924" s="797"/>
      <c r="B924" s="795"/>
      <c r="C924" s="428" t="s">
        <v>430</v>
      </c>
      <c r="D924" s="428"/>
      <c r="E924" s="428"/>
      <c r="F924" s="428"/>
      <c r="G924" s="428"/>
      <c r="H924" s="428"/>
      <c r="I924" s="428"/>
      <c r="J924" s="428"/>
      <c r="K924" s="428"/>
      <c r="L924" s="428"/>
      <c r="M924" s="428"/>
      <c r="N924" s="428"/>
      <c r="O924" s="428"/>
      <c r="P924" s="428"/>
      <c r="Q924" s="428"/>
      <c r="R924" s="428"/>
      <c r="S924" s="428"/>
      <c r="T924" s="428"/>
      <c r="U924" s="428"/>
      <c r="V924" s="27"/>
      <c r="Z924" s="796"/>
      <c r="AN924" s="20">
        <f>AN923-180000000</f>
        <v>170000000</v>
      </c>
    </row>
    <row r="925" spans="1:40" s="20" customFormat="1" ht="83.25" customHeight="1">
      <c r="A925" s="782"/>
      <c r="B925" s="442"/>
      <c r="C925" s="354" t="str">
        <f>"Mutasi  Debet sebesar Rp. "&amp;FIXED(I920+O920)&amp;" adalah hasil reklas barang tahun 2017 dari belanja modal berupa  High Jack selfloader senilai Rp.1.087.147.409 dan mutasi ke  SKPD lain senilai Rp. 350.000.000 berupa truck hino dan bus ke BPBD  dan penghapusan  3 buah sepeda motor senilai Rp. 5.000.000"</f>
        <v>Mutasi  Debet sebesar Rp. 1,442,147,409.00 adalah hasil reklas barang tahun 2017 dari belanja modal berupa  High Jack selfloader senilai Rp.1.087.147.409 dan mutasi ke  SKPD lain senilai Rp. 350.000.000 berupa truck hino dan bus ke BPBD  dan penghapusan  3 buah sepeda motor senilai Rp. 5.000.000</v>
      </c>
      <c r="D925" s="354"/>
      <c r="E925" s="354"/>
      <c r="F925" s="354"/>
      <c r="G925" s="354"/>
      <c r="H925" s="354"/>
      <c r="I925" s="354"/>
      <c r="J925" s="354"/>
      <c r="K925" s="354"/>
      <c r="L925" s="354"/>
      <c r="M925" s="354"/>
      <c r="N925" s="354"/>
      <c r="O925" s="354"/>
      <c r="P925" s="354"/>
      <c r="Q925" s="354"/>
      <c r="R925" s="354"/>
      <c r="S925" s="354"/>
      <c r="T925" s="354"/>
      <c r="U925" s="354"/>
      <c r="V925" s="27"/>
      <c r="Z925" s="796"/>
    </row>
    <row r="926" spans="1:40" s="20" customFormat="1" ht="13.5" customHeight="1">
      <c r="A926" s="782"/>
      <c r="B926" s="784"/>
      <c r="C926" s="798"/>
      <c r="D926" s="798"/>
      <c r="E926" s="798"/>
      <c r="F926" s="798"/>
      <c r="G926" s="798"/>
      <c r="H926" s="798"/>
      <c r="I926" s="798"/>
      <c r="J926" s="798"/>
      <c r="K926" s="798"/>
      <c r="L926" s="798"/>
      <c r="M926" s="798"/>
      <c r="N926" s="798"/>
      <c r="O926" s="798"/>
      <c r="P926" s="798"/>
      <c r="Q926" s="798"/>
      <c r="R926" s="798"/>
      <c r="S926" s="798"/>
      <c r="T926" s="798"/>
      <c r="U926" s="798"/>
      <c r="V926" s="27"/>
      <c r="Z926" s="796"/>
    </row>
    <row r="927" spans="1:40" s="20" customFormat="1" ht="22.5" customHeight="1">
      <c r="A927" s="14"/>
      <c r="B927" s="774" t="s">
        <v>114</v>
      </c>
      <c r="C927" s="775" t="s">
        <v>437</v>
      </c>
      <c r="D927" s="775"/>
      <c r="E927" s="775"/>
      <c r="F927" s="775"/>
      <c r="G927" s="775"/>
      <c r="H927" s="775"/>
      <c r="I927" s="775"/>
      <c r="J927" s="775"/>
      <c r="K927" s="775"/>
      <c r="L927" s="775"/>
      <c r="M927" s="775"/>
      <c r="N927" s="775"/>
      <c r="O927" s="775"/>
      <c r="P927" s="775"/>
      <c r="Q927" s="775"/>
      <c r="R927" s="775"/>
      <c r="S927" s="775"/>
      <c r="T927" s="775"/>
      <c r="U927" s="775"/>
      <c r="V927" s="27"/>
      <c r="Z927" s="796"/>
    </row>
    <row r="928" spans="1:40" s="20" customFormat="1" ht="45.75" customHeight="1">
      <c r="A928" s="14"/>
      <c r="C928" s="313" t="str">
        <f>"Nilai aset tetap berupa alat angkutan darat tak  bermotor  per "&amp;'[1]2.ISIAN DATA SKPD'!D8&amp;" dan  "&amp;'[1]2.ISIAN DATA SKPD'!D12&amp;" adalah sebesar Rp. "&amp;FIXED(R933)&amp;" dan Rp. "&amp;FIXED(B933)&amp;"."</f>
        <v>Nilai aset tetap berupa alat angkutan darat tak  bermotor  per 31 Desember 2017 dan  2016 adalah sebesar Rp. 3,513,125.00 dan Rp. 473,443,889.00.</v>
      </c>
      <c r="D928" s="313"/>
      <c r="E928" s="313"/>
      <c r="F928" s="313"/>
      <c r="G928" s="313"/>
      <c r="H928" s="313"/>
      <c r="I928" s="313"/>
      <c r="J928" s="313"/>
      <c r="K928" s="313"/>
      <c r="L928" s="313"/>
      <c r="M928" s="313"/>
      <c r="N928" s="313"/>
      <c r="O928" s="313"/>
      <c r="P928" s="313"/>
      <c r="Q928" s="313"/>
      <c r="R928" s="313"/>
      <c r="S928" s="313"/>
      <c r="T928" s="313"/>
      <c r="U928" s="313"/>
      <c r="V928" s="27"/>
      <c r="Z928" s="796"/>
    </row>
    <row r="929" spans="1:22" s="20" customFormat="1" ht="14.25" customHeight="1">
      <c r="A929" s="14"/>
      <c r="C929" s="285"/>
      <c r="D929" s="285"/>
      <c r="E929" s="285"/>
      <c r="F929" s="285"/>
      <c r="G929" s="285"/>
      <c r="H929" s="285"/>
      <c r="I929" s="285"/>
      <c r="J929" s="285"/>
      <c r="K929" s="285"/>
      <c r="L929" s="285"/>
      <c r="M929" s="285"/>
      <c r="N929" s="285"/>
      <c r="O929" s="285"/>
      <c r="P929" s="285"/>
      <c r="Q929" s="285"/>
      <c r="R929" s="285"/>
      <c r="S929" s="285"/>
      <c r="T929" s="285"/>
      <c r="U929" s="285"/>
      <c r="V929" s="27"/>
    </row>
    <row r="930" spans="1:22" s="20" customFormat="1" ht="22.5" customHeight="1">
      <c r="A930" s="14"/>
      <c r="B930" s="285"/>
      <c r="C930" s="568" t="str">
        <f>"Dengan mutasi  selama tahun "&amp;'[1]2.ISIAN DATA SKPD'!D35&amp;" sebagai berikut :"</f>
        <v>Dengan mutasi  selama tahun  sebagai berikut :</v>
      </c>
      <c r="D930" s="568"/>
      <c r="E930" s="568"/>
      <c r="F930" s="568"/>
      <c r="G930" s="568"/>
      <c r="H930" s="568"/>
      <c r="I930" s="568"/>
      <c r="J930" s="568"/>
      <c r="K930" s="568"/>
      <c r="L930" s="568"/>
      <c r="M930" s="568"/>
      <c r="N930" s="568"/>
      <c r="O930" s="568"/>
      <c r="P930" s="568"/>
      <c r="Q930" s="568"/>
      <c r="R930" s="568"/>
      <c r="S930" s="568"/>
      <c r="T930" s="568"/>
      <c r="U930" s="568"/>
      <c r="V930" s="27"/>
    </row>
    <row r="931" spans="1:22" s="20" customFormat="1" ht="28.5" customHeight="1">
      <c r="A931" s="726" t="s">
        <v>84</v>
      </c>
      <c r="B931" s="727" t="s">
        <v>411</v>
      </c>
      <c r="C931" s="728"/>
      <c r="D931" s="728"/>
      <c r="E931" s="729"/>
      <c r="F931" s="730" t="s">
        <v>412</v>
      </c>
      <c r="G931" s="730"/>
      <c r="H931" s="730"/>
      <c r="I931" s="730"/>
      <c r="J931" s="730"/>
      <c r="K931" s="730"/>
      <c r="L931" s="730" t="s">
        <v>413</v>
      </c>
      <c r="M931" s="730"/>
      <c r="N931" s="730"/>
      <c r="O931" s="730"/>
      <c r="P931" s="730"/>
      <c r="Q931" s="730"/>
      <c r="R931" s="776" t="s">
        <v>414</v>
      </c>
      <c r="S931" s="791"/>
      <c r="T931" s="791"/>
      <c r="U931" s="792"/>
      <c r="V931" s="27"/>
    </row>
    <row r="932" spans="1:22" s="20" customFormat="1" ht="18.75" customHeight="1">
      <c r="A932" s="732"/>
      <c r="B932" s="733">
        <f>B919</f>
        <v>2017</v>
      </c>
      <c r="C932" s="734"/>
      <c r="D932" s="734"/>
      <c r="E932" s="735"/>
      <c r="F932" s="731" t="s">
        <v>415</v>
      </c>
      <c r="G932" s="731"/>
      <c r="H932" s="731"/>
      <c r="I932" s="731" t="s">
        <v>416</v>
      </c>
      <c r="J932" s="731"/>
      <c r="K932" s="731"/>
      <c r="L932" s="731" t="s">
        <v>415</v>
      </c>
      <c r="M932" s="731"/>
      <c r="N932" s="731"/>
      <c r="O932" s="736" t="s">
        <v>416</v>
      </c>
      <c r="P932" s="736"/>
      <c r="Q932" s="736"/>
      <c r="R932" s="776">
        <f>R919</f>
        <v>2017</v>
      </c>
      <c r="S932" s="791"/>
      <c r="T932" s="791"/>
      <c r="U932" s="792"/>
      <c r="V932" s="27"/>
    </row>
    <row r="933" spans="1:22" s="20" customFormat="1" ht="45" customHeight="1">
      <c r="A933" s="771" t="str">
        <f>C927</f>
        <v>Alat  Angkutan Darat Tak Bermotor</v>
      </c>
      <c r="B933" s="799">
        <f>'[1]4.NERACA'!D80</f>
        <v>473443889</v>
      </c>
      <c r="C933" s="800"/>
      <c r="D933" s="800"/>
      <c r="E933" s="801"/>
      <c r="F933" s="799">
        <f>'[1]4.NERACA'!E80</f>
        <v>0</v>
      </c>
      <c r="G933" s="800"/>
      <c r="H933" s="801"/>
      <c r="I933" s="799">
        <f>'[1]4.NERACA'!F80</f>
        <v>0</v>
      </c>
      <c r="J933" s="800"/>
      <c r="K933" s="801"/>
      <c r="L933" s="799">
        <f>'[1]4.NERACA'!G80</f>
        <v>0</v>
      </c>
      <c r="M933" s="800"/>
      <c r="N933" s="801"/>
      <c r="O933" s="740">
        <f>'[1]4.NERACA'!H80</f>
        <v>469930764</v>
      </c>
      <c r="P933" s="741"/>
      <c r="Q933" s="742"/>
      <c r="R933" s="799">
        <f>'[1]4.NERACA'!I80</f>
        <v>3513125</v>
      </c>
      <c r="S933" s="800"/>
      <c r="T933" s="800"/>
      <c r="U933" s="801"/>
      <c r="V933" s="27"/>
    </row>
    <row r="934" spans="1:22" s="20" customFormat="1" ht="15.75" customHeight="1">
      <c r="A934" s="782"/>
      <c r="B934" s="772" t="s">
        <v>436</v>
      </c>
      <c r="C934" s="772"/>
      <c r="D934" s="772"/>
      <c r="E934" s="772"/>
      <c r="F934" s="772"/>
      <c r="G934" s="772"/>
      <c r="H934" s="772"/>
      <c r="I934" s="772"/>
      <c r="J934" s="772"/>
      <c r="K934" s="772"/>
      <c r="L934" s="772"/>
      <c r="M934" s="772"/>
      <c r="N934" s="772"/>
      <c r="O934" s="772"/>
      <c r="P934" s="772"/>
      <c r="Q934" s="772"/>
      <c r="R934" s="772"/>
      <c r="S934" s="772"/>
      <c r="T934" s="772"/>
      <c r="U934" s="772"/>
      <c r="V934" s="27"/>
    </row>
    <row r="935" spans="1:22" s="20" customFormat="1" ht="15.75" customHeight="1">
      <c r="A935" s="782"/>
      <c r="B935" s="795"/>
      <c r="C935" s="428" t="s">
        <v>428</v>
      </c>
      <c r="D935" s="428"/>
      <c r="E935" s="428"/>
      <c r="F935" s="428"/>
      <c r="G935" s="428"/>
      <c r="H935" s="428"/>
      <c r="I935" s="428"/>
      <c r="J935" s="428"/>
      <c r="K935" s="428"/>
      <c r="L935" s="428"/>
      <c r="M935" s="428"/>
      <c r="N935" s="428"/>
      <c r="O935" s="428"/>
      <c r="P935" s="428"/>
      <c r="Q935" s="428"/>
      <c r="R935" s="428"/>
      <c r="S935" s="428"/>
      <c r="T935" s="428"/>
      <c r="U935" s="428"/>
      <c r="V935" s="27"/>
    </row>
    <row r="936" spans="1:22" s="20" customFormat="1" ht="23.25" customHeight="1">
      <c r="A936" s="782"/>
      <c r="B936" s="442"/>
      <c r="C936" s="354" t="str">
        <f>"Mutasi Debet sebesar Rp. "&amp;FIXED(F933+L933)&amp;"  "</f>
        <v xml:space="preserve">Mutasi Debet sebesar Rp. 0.00  </v>
      </c>
      <c r="D936" s="354"/>
      <c r="E936" s="354"/>
      <c r="F936" s="354"/>
      <c r="G936" s="354"/>
      <c r="H936" s="354"/>
      <c r="I936" s="354"/>
      <c r="J936" s="354"/>
      <c r="K936" s="354"/>
      <c r="L936" s="354"/>
      <c r="M936" s="354"/>
      <c r="N936" s="354"/>
      <c r="O936" s="354"/>
      <c r="P936" s="354"/>
      <c r="Q936" s="354"/>
      <c r="R936" s="354"/>
      <c r="S936" s="354"/>
      <c r="T936" s="354"/>
      <c r="U936" s="354"/>
      <c r="V936" s="27"/>
    </row>
    <row r="937" spans="1:22" s="20" customFormat="1" ht="22.5" customHeight="1">
      <c r="A937" s="782"/>
      <c r="B937" s="795"/>
      <c r="C937" s="428" t="s">
        <v>430</v>
      </c>
      <c r="D937" s="428"/>
      <c r="E937" s="428"/>
      <c r="F937" s="428"/>
      <c r="G937" s="428"/>
      <c r="H937" s="428"/>
      <c r="I937" s="428"/>
      <c r="J937" s="428"/>
      <c r="K937" s="428"/>
      <c r="L937" s="428"/>
      <c r="M937" s="428"/>
      <c r="N937" s="428"/>
      <c r="O937" s="428"/>
      <c r="P937" s="428"/>
      <c r="Q937" s="428"/>
      <c r="R937" s="428"/>
      <c r="S937" s="428"/>
      <c r="T937" s="428"/>
      <c r="U937" s="428"/>
      <c r="V937" s="27"/>
    </row>
    <row r="938" spans="1:22" s="20" customFormat="1" ht="45.75" customHeight="1">
      <c r="A938" s="782"/>
      <c r="B938" s="442"/>
      <c r="C938" s="354" t="str">
        <f>"Mutasi Kredit Rp. "&amp;FIXED(I933+O933)&amp;" adalah Mutasi Kontainer sejumlah 21 buah senilai Rp. 440.579.764 dan  1 gerbong toilet unit senilai Rp. 29.351.000  ke Dinas Lingkungan Hidup  "</f>
        <v xml:space="preserve">Mutasi Kredit Rp. 469,930,764.00 adalah Mutasi Kontainer sejumlah 21 buah senilai Rp. 440.579.764 dan  1 gerbong toilet unit senilai Rp. 29.351.000  ke Dinas Lingkungan Hidup  </v>
      </c>
      <c r="D938" s="354"/>
      <c r="E938" s="354"/>
      <c r="F938" s="354"/>
      <c r="G938" s="354"/>
      <c r="H938" s="354"/>
      <c r="I938" s="354"/>
      <c r="J938" s="354"/>
      <c r="K938" s="354"/>
      <c r="L938" s="354"/>
      <c r="M938" s="354"/>
      <c r="N938" s="354"/>
      <c r="O938" s="354"/>
      <c r="P938" s="354"/>
      <c r="Q938" s="354"/>
      <c r="R938" s="354"/>
      <c r="S938" s="354"/>
      <c r="T938" s="354"/>
      <c r="U938" s="354"/>
      <c r="V938" s="27"/>
    </row>
    <row r="939" spans="1:22" s="20" customFormat="1" ht="9.75" customHeight="1">
      <c r="A939" s="782"/>
      <c r="B939" s="784"/>
      <c r="C939" s="784"/>
      <c r="D939" s="784"/>
      <c r="E939" s="784"/>
      <c r="F939" s="793"/>
      <c r="G939" s="793"/>
      <c r="H939" s="793"/>
      <c r="I939" s="793"/>
      <c r="J939" s="793"/>
      <c r="K939" s="793"/>
      <c r="L939" s="793"/>
      <c r="M939" s="793"/>
      <c r="N939" s="793"/>
      <c r="O939" s="793"/>
      <c r="P939" s="793"/>
      <c r="Q939" s="793"/>
      <c r="R939" s="784"/>
      <c r="S939" s="784"/>
      <c r="T939" s="784"/>
      <c r="U939" s="784"/>
      <c r="V939" s="27"/>
    </row>
    <row r="940" spans="1:22" s="20" customFormat="1" ht="19.5" customHeight="1">
      <c r="A940" s="14"/>
      <c r="B940" s="774" t="s">
        <v>115</v>
      </c>
      <c r="C940" s="775" t="s">
        <v>438</v>
      </c>
      <c r="D940" s="775"/>
      <c r="E940" s="775"/>
      <c r="F940" s="775"/>
      <c r="G940" s="775"/>
      <c r="H940" s="775"/>
      <c r="I940" s="775"/>
      <c r="J940" s="775"/>
      <c r="K940" s="775"/>
      <c r="L940" s="775"/>
      <c r="M940" s="775"/>
      <c r="N940" s="775"/>
      <c r="O940" s="775"/>
      <c r="P940" s="775"/>
      <c r="Q940" s="775"/>
      <c r="R940" s="775"/>
      <c r="S940" s="775"/>
      <c r="T940" s="775"/>
      <c r="U940" s="775"/>
      <c r="V940" s="27"/>
    </row>
    <row r="941" spans="1:22" s="20" customFormat="1" ht="36" customHeight="1">
      <c r="A941" s="14"/>
      <c r="C941" s="313" t="str">
        <f>"Nilai aset tetap berupa alat angkutan darat tak  bermotor  per "&amp;'[1]2.ISIAN DATA SKPD'!D21&amp;" dan  "&amp;'[1]2.ISIAN DATA SKPD'!D25&amp;" adalah sebesar Rp. "&amp;FIXED(R946)&amp;" dan Rp. "&amp;FIXED(B946)&amp;"."</f>
        <v>Nilai aset tetap berupa alat angkutan darat tak  bermotor  per  dan   adalah sebesar Rp. 52,870,393.00 dan Rp. 69,557,393.00.</v>
      </c>
      <c r="D941" s="313"/>
      <c r="E941" s="313"/>
      <c r="F941" s="313"/>
      <c r="G941" s="313"/>
      <c r="H941" s="313"/>
      <c r="I941" s="313"/>
      <c r="J941" s="313"/>
      <c r="K941" s="313"/>
      <c r="L941" s="313"/>
      <c r="M941" s="313"/>
      <c r="N941" s="313"/>
      <c r="O941" s="313"/>
      <c r="P941" s="313"/>
      <c r="Q941" s="313"/>
      <c r="R941" s="313"/>
      <c r="S941" s="313"/>
      <c r="T941" s="313"/>
      <c r="U941" s="313"/>
      <c r="V941" s="27"/>
    </row>
    <row r="942" spans="1:22" s="20" customFormat="1" ht="7.5" customHeight="1">
      <c r="A942" s="14"/>
      <c r="C942" s="285"/>
      <c r="D942" s="285"/>
      <c r="E942" s="285"/>
      <c r="F942" s="285"/>
      <c r="G942" s="285"/>
      <c r="H942" s="285"/>
      <c r="I942" s="285"/>
      <c r="J942" s="285"/>
      <c r="K942" s="285"/>
      <c r="L942" s="285"/>
      <c r="M942" s="285"/>
      <c r="N942" s="285"/>
      <c r="O942" s="285"/>
      <c r="P942" s="285"/>
      <c r="Q942" s="285"/>
      <c r="R942" s="285"/>
      <c r="S942" s="285"/>
      <c r="T942" s="285"/>
      <c r="U942" s="285"/>
      <c r="V942" s="27"/>
    </row>
    <row r="943" spans="1:22" s="20" customFormat="1" ht="22.5" customHeight="1">
      <c r="A943" s="14"/>
      <c r="B943" s="285"/>
      <c r="C943" s="568" t="str">
        <f>"Dengan mutasi  selama tahun "&amp;'[1]2.ISIAN DATA SKPD'!D48&amp;" sebagai berikut :"</f>
        <v>Dengan mutasi  selama tahun  sebagai berikut :</v>
      </c>
      <c r="D943" s="568"/>
      <c r="E943" s="568"/>
      <c r="F943" s="568"/>
      <c r="G943" s="568"/>
      <c r="H943" s="568"/>
      <c r="I943" s="568"/>
      <c r="J943" s="568"/>
      <c r="K943" s="568"/>
      <c r="L943" s="568"/>
      <c r="M943" s="568"/>
      <c r="N943" s="568"/>
      <c r="O943" s="568"/>
      <c r="P943" s="568"/>
      <c r="Q943" s="568"/>
      <c r="R943" s="568"/>
      <c r="S943" s="568"/>
      <c r="T943" s="568"/>
      <c r="U943" s="568"/>
      <c r="V943" s="27"/>
    </row>
    <row r="944" spans="1:22" s="20" customFormat="1" ht="34.5" customHeight="1">
      <c r="A944" s="726" t="s">
        <v>84</v>
      </c>
      <c r="B944" s="727" t="s">
        <v>411</v>
      </c>
      <c r="C944" s="728"/>
      <c r="D944" s="728"/>
      <c r="E944" s="729"/>
      <c r="F944" s="730" t="s">
        <v>412</v>
      </c>
      <c r="G944" s="730"/>
      <c r="H944" s="730"/>
      <c r="I944" s="730"/>
      <c r="J944" s="730"/>
      <c r="K944" s="730"/>
      <c r="L944" s="730" t="s">
        <v>413</v>
      </c>
      <c r="M944" s="730"/>
      <c r="N944" s="730"/>
      <c r="O944" s="730"/>
      <c r="P944" s="730"/>
      <c r="Q944" s="730"/>
      <c r="R944" s="776" t="s">
        <v>414</v>
      </c>
      <c r="S944" s="791"/>
      <c r="T944" s="791"/>
      <c r="U944" s="792"/>
      <c r="V944" s="27"/>
    </row>
    <row r="945" spans="1:22" s="20" customFormat="1" ht="15.75" customHeight="1">
      <c r="A945" s="732"/>
      <c r="B945" s="733">
        <f>B932</f>
        <v>2017</v>
      </c>
      <c r="C945" s="734"/>
      <c r="D945" s="734"/>
      <c r="E945" s="735"/>
      <c r="F945" s="731" t="s">
        <v>415</v>
      </c>
      <c r="G945" s="731"/>
      <c r="H945" s="731"/>
      <c r="I945" s="731" t="s">
        <v>416</v>
      </c>
      <c r="J945" s="731"/>
      <c r="K945" s="731"/>
      <c r="L945" s="731" t="s">
        <v>415</v>
      </c>
      <c r="M945" s="731"/>
      <c r="N945" s="731"/>
      <c r="O945" s="736" t="s">
        <v>416</v>
      </c>
      <c r="P945" s="736"/>
      <c r="Q945" s="736"/>
      <c r="R945" s="776">
        <f>R932</f>
        <v>2017</v>
      </c>
      <c r="S945" s="791"/>
      <c r="T945" s="791"/>
      <c r="U945" s="792"/>
      <c r="V945" s="27"/>
    </row>
    <row r="946" spans="1:22" s="20" customFormat="1" ht="30.75" customHeight="1">
      <c r="A946" s="771" t="str">
        <f>C940</f>
        <v>Alat  bengkel bermesin</v>
      </c>
      <c r="B946" s="799">
        <f>'[1]4.NERACA'!D81</f>
        <v>69557393</v>
      </c>
      <c r="C946" s="800"/>
      <c r="D946" s="800"/>
      <c r="E946" s="801"/>
      <c r="F946" s="799">
        <f>'[1]4.NERACA'!E81</f>
        <v>0</v>
      </c>
      <c r="G946" s="800"/>
      <c r="H946" s="801"/>
      <c r="I946" s="799">
        <f>'[1]4.NERACA'!F81</f>
        <v>0</v>
      </c>
      <c r="J946" s="800"/>
      <c r="K946" s="801"/>
      <c r="L946" s="799">
        <f>'[1]4.NERACA'!G81</f>
        <v>0</v>
      </c>
      <c r="M946" s="800"/>
      <c r="N946" s="801"/>
      <c r="O946" s="799">
        <f>'[1]4.NERACA'!H81</f>
        <v>16687000</v>
      </c>
      <c r="P946" s="800"/>
      <c r="Q946" s="801"/>
      <c r="R946" s="799">
        <f>'[1]4.NERACA'!I81</f>
        <v>52870393</v>
      </c>
      <c r="S946" s="800"/>
      <c r="T946" s="800"/>
      <c r="U946" s="801"/>
      <c r="V946" s="27"/>
    </row>
    <row r="947" spans="1:22" s="20" customFormat="1" ht="22.5" customHeight="1">
      <c r="A947" s="782"/>
      <c r="B947" s="772" t="s">
        <v>436</v>
      </c>
      <c r="C947" s="772"/>
      <c r="D947" s="772"/>
      <c r="E947" s="772"/>
      <c r="F947" s="772"/>
      <c r="G947" s="772"/>
      <c r="H947" s="772"/>
      <c r="I947" s="772"/>
      <c r="J947" s="772"/>
      <c r="K947" s="772"/>
      <c r="L947" s="772"/>
      <c r="M947" s="772"/>
      <c r="N947" s="772"/>
      <c r="O947" s="772"/>
      <c r="P947" s="772"/>
      <c r="Q947" s="772"/>
      <c r="R947" s="772"/>
      <c r="S947" s="772"/>
      <c r="T947" s="772"/>
      <c r="U947" s="772"/>
      <c r="V947" s="27"/>
    </row>
    <row r="948" spans="1:22" s="20" customFormat="1" ht="15.75" customHeight="1">
      <c r="A948" s="802"/>
      <c r="B948" s="795"/>
      <c r="C948" s="428" t="s">
        <v>428</v>
      </c>
      <c r="D948" s="428"/>
      <c r="E948" s="428"/>
      <c r="F948" s="428"/>
      <c r="G948" s="428"/>
      <c r="H948" s="428"/>
      <c r="I948" s="428"/>
      <c r="J948" s="428"/>
      <c r="K948" s="428"/>
      <c r="L948" s="428"/>
      <c r="M948" s="428"/>
      <c r="N948" s="428"/>
      <c r="O948" s="428"/>
      <c r="P948" s="428"/>
      <c r="Q948" s="428"/>
      <c r="R948" s="428"/>
      <c r="S948" s="428"/>
      <c r="T948" s="428"/>
      <c r="U948" s="428"/>
      <c r="V948" s="27"/>
    </row>
    <row r="949" spans="1:22" s="20" customFormat="1" ht="19.5" customHeight="1">
      <c r="A949" s="802"/>
      <c r="B949" s="442"/>
      <c r="C949" s="354" t="str">
        <f>"Mutasi Debet sebesar Rp. "&amp;FIXED(F946+L946)&amp;"  "</f>
        <v xml:space="preserve">Mutasi Debet sebesar Rp. 0.00  </v>
      </c>
      <c r="D949" s="354"/>
      <c r="E949" s="354"/>
      <c r="F949" s="354"/>
      <c r="G949" s="354"/>
      <c r="H949" s="354"/>
      <c r="I949" s="354"/>
      <c r="J949" s="354"/>
      <c r="K949" s="354"/>
      <c r="L949" s="354"/>
      <c r="M949" s="354"/>
      <c r="N949" s="354"/>
      <c r="O949" s="354"/>
      <c r="P949" s="354"/>
      <c r="Q949" s="354"/>
      <c r="R949" s="354"/>
      <c r="S949" s="354"/>
      <c r="T949" s="354"/>
      <c r="U949" s="354"/>
      <c r="V949" s="27"/>
    </row>
    <row r="950" spans="1:22" s="20" customFormat="1" ht="21.75" customHeight="1">
      <c r="A950" s="802"/>
      <c r="B950" s="795"/>
      <c r="C950" s="428" t="s">
        <v>430</v>
      </c>
      <c r="D950" s="428"/>
      <c r="E950" s="428"/>
      <c r="F950" s="428"/>
      <c r="G950" s="428"/>
      <c r="H950" s="428"/>
      <c r="I950" s="428"/>
      <c r="J950" s="428"/>
      <c r="K950" s="428"/>
      <c r="L950" s="428"/>
      <c r="M950" s="428"/>
      <c r="N950" s="428"/>
      <c r="O950" s="428"/>
      <c r="P950" s="428"/>
      <c r="Q950" s="428"/>
      <c r="R950" s="428"/>
      <c r="S950" s="428"/>
      <c r="T950" s="428"/>
      <c r="U950" s="428"/>
      <c r="V950" s="27"/>
    </row>
    <row r="951" spans="1:22" s="20" customFormat="1" ht="50.25" customHeight="1">
      <c r="A951" s="802"/>
      <c r="B951" s="442"/>
      <c r="C951" s="354" t="str">
        <f>"Mutasi Kredit Rp. "&amp;FIXED(I946+O946)&amp;" adalah Mutasi barang berupa Gergaji mesin,mesin potong kayu,dan Gergaji mesin sinsaw ke dinas Lingkungan Hidup  "</f>
        <v xml:space="preserve">Mutasi Kredit Rp. 16,687,000.00 adalah Mutasi barang berupa Gergaji mesin,mesin potong kayu,dan Gergaji mesin sinsaw ke dinas Lingkungan Hidup  </v>
      </c>
      <c r="D951" s="354"/>
      <c r="E951" s="354"/>
      <c r="F951" s="354"/>
      <c r="G951" s="354"/>
      <c r="H951" s="354"/>
      <c r="I951" s="354"/>
      <c r="J951" s="354"/>
      <c r="K951" s="354"/>
      <c r="L951" s="354"/>
      <c r="M951" s="354"/>
      <c r="N951" s="354"/>
      <c r="O951" s="354"/>
      <c r="P951" s="354"/>
      <c r="Q951" s="354"/>
      <c r="R951" s="354"/>
      <c r="S951" s="354"/>
      <c r="T951" s="354"/>
      <c r="U951" s="354"/>
      <c r="V951" s="27"/>
    </row>
    <row r="952" spans="1:22" s="20" customFormat="1" ht="11.25" customHeight="1">
      <c r="A952" s="782"/>
      <c r="B952" s="784"/>
      <c r="C952" s="784"/>
      <c r="D952" s="784"/>
      <c r="E952" s="784"/>
      <c r="F952" s="793"/>
      <c r="G952" s="793"/>
      <c r="H952" s="793"/>
      <c r="I952" s="793"/>
      <c r="J952" s="793"/>
      <c r="K952" s="793"/>
      <c r="L952" s="793"/>
      <c r="M952" s="793"/>
      <c r="N952" s="793"/>
      <c r="O952" s="793"/>
      <c r="P952" s="793"/>
      <c r="Q952" s="793"/>
      <c r="R952" s="784"/>
      <c r="S952" s="784"/>
      <c r="T952" s="784"/>
      <c r="U952" s="784"/>
      <c r="V952" s="27"/>
    </row>
    <row r="953" spans="1:22" s="20" customFormat="1" ht="17.25" customHeight="1">
      <c r="A953" s="14"/>
      <c r="B953" s="774" t="s">
        <v>284</v>
      </c>
      <c r="C953" s="775" t="s">
        <v>439</v>
      </c>
      <c r="D953" s="775"/>
      <c r="E953" s="775"/>
      <c r="F953" s="775"/>
      <c r="G953" s="775"/>
      <c r="H953" s="775"/>
      <c r="I953" s="775"/>
      <c r="J953" s="775"/>
      <c r="K953" s="775"/>
      <c r="L953" s="775"/>
      <c r="M953" s="775"/>
      <c r="N953" s="775"/>
      <c r="O953" s="775"/>
      <c r="P953" s="775"/>
      <c r="Q953" s="775"/>
      <c r="R953" s="775"/>
      <c r="S953" s="775"/>
      <c r="T953" s="775"/>
      <c r="U953" s="775"/>
      <c r="V953" s="27"/>
    </row>
    <row r="954" spans="1:22" s="20" customFormat="1" ht="53.25" customHeight="1">
      <c r="A954" s="14"/>
      <c r="C954" s="313" t="str">
        <f>"Nilai aset tetap berupa alat angkutan darat tak  bermotor  per "&amp;'[1]2.ISIAN DATA SKPD'!D10&amp;" dan  "&amp;'[1]2.ISIAN DATA SKPD'!D12&amp;" adalah sebesar Rp. "&amp;FIXED(R959)&amp;" dan Rp. "&amp;FIXED(B959)&amp;"."</f>
        <v>Nilai aset tetap berupa alat angkutan darat tak  bermotor  per 31 Desember 2017 dan  2016 adalah sebesar Rp. 2,800,000.00 dan Rp. 9,818,000.00.</v>
      </c>
      <c r="D954" s="313"/>
      <c r="E954" s="313"/>
      <c r="F954" s="313"/>
      <c r="G954" s="313"/>
      <c r="H954" s="313"/>
      <c r="I954" s="313"/>
      <c r="J954" s="313"/>
      <c r="K954" s="313"/>
      <c r="L954" s="313"/>
      <c r="M954" s="313"/>
      <c r="N954" s="313"/>
      <c r="O954" s="313"/>
      <c r="P954" s="313"/>
      <c r="Q954" s="313"/>
      <c r="R954" s="313"/>
      <c r="S954" s="313"/>
      <c r="T954" s="313"/>
      <c r="U954" s="313"/>
      <c r="V954" s="27"/>
    </row>
    <row r="955" spans="1:22" s="20" customFormat="1" ht="15.75" customHeight="1">
      <c r="A955" s="14"/>
      <c r="C955" s="285"/>
      <c r="D955" s="285"/>
      <c r="E955" s="285"/>
      <c r="F955" s="285"/>
      <c r="G955" s="285"/>
      <c r="H955" s="285"/>
      <c r="I955" s="285"/>
      <c r="J955" s="285"/>
      <c r="K955" s="285"/>
      <c r="L955" s="285"/>
      <c r="M955" s="285"/>
      <c r="N955" s="285"/>
      <c r="O955" s="285"/>
      <c r="P955" s="285"/>
      <c r="Q955" s="285"/>
      <c r="R955" s="285"/>
      <c r="S955" s="285"/>
      <c r="T955" s="285"/>
      <c r="U955" s="285"/>
      <c r="V955" s="27"/>
    </row>
    <row r="956" spans="1:22" s="20" customFormat="1" ht="15.75" customHeight="1">
      <c r="A956" s="14"/>
      <c r="B956" s="285"/>
      <c r="C956" s="568" t="str">
        <f>"Dengan mutasi  selama tahun "&amp;'[1]2.ISIAN DATA SKPD'!D61&amp;" sebagai berikut :"</f>
        <v>Dengan mutasi  selama tahun  sebagai berikut :</v>
      </c>
      <c r="D956" s="568"/>
      <c r="E956" s="568"/>
      <c r="F956" s="568"/>
      <c r="G956" s="568"/>
      <c r="H956" s="568"/>
      <c r="I956" s="568"/>
      <c r="J956" s="568"/>
      <c r="K956" s="568"/>
      <c r="L956" s="568"/>
      <c r="M956" s="568"/>
      <c r="N956" s="568"/>
      <c r="O956" s="568"/>
      <c r="P956" s="568"/>
      <c r="Q956" s="568"/>
      <c r="R956" s="568"/>
      <c r="S956" s="568"/>
      <c r="T956" s="568"/>
      <c r="U956" s="568"/>
      <c r="V956" s="27"/>
    </row>
    <row r="957" spans="1:22" s="20" customFormat="1" ht="15.75" customHeight="1">
      <c r="A957" s="726" t="s">
        <v>84</v>
      </c>
      <c r="B957" s="727" t="s">
        <v>411</v>
      </c>
      <c r="C957" s="728"/>
      <c r="D957" s="728"/>
      <c r="E957" s="729"/>
      <c r="F957" s="730" t="s">
        <v>412</v>
      </c>
      <c r="G957" s="730"/>
      <c r="H957" s="730"/>
      <c r="I957" s="730"/>
      <c r="J957" s="730"/>
      <c r="K957" s="730"/>
      <c r="L957" s="730" t="s">
        <v>413</v>
      </c>
      <c r="M957" s="730"/>
      <c r="N957" s="730"/>
      <c r="O957" s="730"/>
      <c r="P957" s="730"/>
      <c r="Q957" s="730"/>
      <c r="R957" s="776" t="s">
        <v>414</v>
      </c>
      <c r="S957" s="791"/>
      <c r="T957" s="791"/>
      <c r="U957" s="792"/>
      <c r="V957" s="27"/>
    </row>
    <row r="958" spans="1:22" s="20" customFormat="1" ht="15.75" customHeight="1">
      <c r="A958" s="732"/>
      <c r="B958" s="733">
        <f>B945</f>
        <v>2017</v>
      </c>
      <c r="C958" s="734"/>
      <c r="D958" s="734"/>
      <c r="E958" s="735"/>
      <c r="F958" s="731" t="s">
        <v>415</v>
      </c>
      <c r="G958" s="731"/>
      <c r="H958" s="731"/>
      <c r="I958" s="731" t="s">
        <v>416</v>
      </c>
      <c r="J958" s="731"/>
      <c r="K958" s="731"/>
      <c r="L958" s="731" t="s">
        <v>415</v>
      </c>
      <c r="M958" s="731"/>
      <c r="N958" s="731"/>
      <c r="O958" s="736" t="s">
        <v>416</v>
      </c>
      <c r="P958" s="736"/>
      <c r="Q958" s="736"/>
      <c r="R958" s="776">
        <f>R945</f>
        <v>2017</v>
      </c>
      <c r="S958" s="791"/>
      <c r="T958" s="791"/>
      <c r="U958" s="792"/>
      <c r="V958" s="27"/>
    </row>
    <row r="959" spans="1:22" s="20" customFormat="1" ht="24.75" customHeight="1">
      <c r="A959" s="771" t="str">
        <f>C953</f>
        <v>Alat  bengkel tak bermesin</v>
      </c>
      <c r="B959" s="686">
        <f>'[1]4.NERACA'!D82</f>
        <v>9818000</v>
      </c>
      <c r="C959" s="687"/>
      <c r="D959" s="687"/>
      <c r="E959" s="688"/>
      <c r="F959" s="686">
        <f>'[1]4.NERACA'!E82</f>
        <v>0</v>
      </c>
      <c r="G959" s="687"/>
      <c r="H959" s="688"/>
      <c r="I959" s="686">
        <f>'[1]4.NERACA'!F82</f>
        <v>0</v>
      </c>
      <c r="J959" s="687"/>
      <c r="K959" s="688"/>
      <c r="L959" s="686">
        <f>'[1]4.NERACA'!G82</f>
        <v>0</v>
      </c>
      <c r="M959" s="687"/>
      <c r="N959" s="688"/>
      <c r="O959" s="686">
        <f>'[1]4.NERACA'!H82</f>
        <v>7018000</v>
      </c>
      <c r="P959" s="687"/>
      <c r="Q959" s="688"/>
      <c r="R959" s="686">
        <f>B959+F959-I959+L959-O959</f>
        <v>2800000</v>
      </c>
      <c r="S959" s="687"/>
      <c r="T959" s="687"/>
      <c r="U959" s="688"/>
      <c r="V959" s="27"/>
    </row>
    <row r="960" spans="1:22" s="20" customFormat="1" ht="15.75" customHeight="1">
      <c r="A960" s="782"/>
      <c r="B960" s="772" t="s">
        <v>436</v>
      </c>
      <c r="C960" s="772"/>
      <c r="D960" s="772"/>
      <c r="E960" s="772"/>
      <c r="F960" s="772"/>
      <c r="G960" s="772"/>
      <c r="H960" s="772"/>
      <c r="I960" s="772"/>
      <c r="J960" s="772"/>
      <c r="K960" s="772"/>
      <c r="L960" s="772"/>
      <c r="M960" s="772"/>
      <c r="N960" s="772"/>
      <c r="O960" s="772"/>
      <c r="P960" s="772"/>
      <c r="Q960" s="772"/>
      <c r="R960" s="772"/>
      <c r="S960" s="772"/>
      <c r="T960" s="772"/>
      <c r="U960" s="772"/>
      <c r="V960" s="27"/>
    </row>
    <row r="961" spans="1:22" s="20" customFormat="1" ht="15.75" customHeight="1">
      <c r="A961" s="802"/>
      <c r="B961" s="795"/>
      <c r="C961" s="428" t="s">
        <v>428</v>
      </c>
      <c r="D961" s="428"/>
      <c r="E961" s="428"/>
      <c r="F961" s="428"/>
      <c r="G961" s="428"/>
      <c r="H961" s="428"/>
      <c r="I961" s="428"/>
      <c r="J961" s="428"/>
      <c r="K961" s="428"/>
      <c r="L961" s="428"/>
      <c r="M961" s="428"/>
      <c r="N961" s="428"/>
      <c r="O961" s="428"/>
      <c r="P961" s="428"/>
      <c r="Q961" s="428"/>
      <c r="R961" s="428"/>
      <c r="S961" s="428"/>
      <c r="T961" s="428"/>
      <c r="U961" s="428"/>
      <c r="V961" s="27"/>
    </row>
    <row r="962" spans="1:22" s="20" customFormat="1" ht="25.5" customHeight="1">
      <c r="A962" s="802"/>
      <c r="B962" s="442"/>
      <c r="C962" s="354" t="str">
        <f>"Mutasi Debet sebesar Rp. "&amp;FIXED(F959+L959)&amp;"  "</f>
        <v xml:space="preserve">Mutasi Debet sebesar Rp. 0.00  </v>
      </c>
      <c r="D962" s="354"/>
      <c r="E962" s="354"/>
      <c r="F962" s="354"/>
      <c r="G962" s="354"/>
      <c r="H962" s="354"/>
      <c r="I962" s="354"/>
      <c r="J962" s="354"/>
      <c r="K962" s="354"/>
      <c r="L962" s="354"/>
      <c r="M962" s="354"/>
      <c r="N962" s="354"/>
      <c r="O962" s="354"/>
      <c r="P962" s="354"/>
      <c r="Q962" s="354"/>
      <c r="R962" s="354"/>
      <c r="S962" s="354"/>
      <c r="T962" s="354"/>
      <c r="U962" s="354"/>
      <c r="V962" s="27"/>
    </row>
    <row r="963" spans="1:22" s="20" customFormat="1" ht="15.75" customHeight="1">
      <c r="A963" s="802"/>
      <c r="B963" s="795"/>
      <c r="C963" s="428" t="s">
        <v>430</v>
      </c>
      <c r="D963" s="428"/>
      <c r="E963" s="428"/>
      <c r="F963" s="428"/>
      <c r="G963" s="428"/>
      <c r="H963" s="428"/>
      <c r="I963" s="428"/>
      <c r="J963" s="428"/>
      <c r="K963" s="428"/>
      <c r="L963" s="428"/>
      <c r="M963" s="428"/>
      <c r="N963" s="428"/>
      <c r="O963" s="428"/>
      <c r="P963" s="428"/>
      <c r="Q963" s="428"/>
      <c r="R963" s="428"/>
      <c r="S963" s="428"/>
      <c r="T963" s="428"/>
      <c r="U963" s="428"/>
      <c r="V963" s="27"/>
    </row>
    <row r="964" spans="1:22" s="20" customFormat="1" ht="34.5" customHeight="1">
      <c r="A964" s="802"/>
      <c r="B964" s="442"/>
      <c r="C964" s="354" t="str">
        <f>"Mutasi Kredit Rp. "&amp;FIXED(I959+O959)&amp;" adalah Mutasi barang berupa Gergaji mesin,Box alat dan tang ampere ke Dinas Lingkungan Hidup  "</f>
        <v xml:space="preserve">Mutasi Kredit Rp. 7,018,000.00 adalah Mutasi barang berupa Gergaji mesin,Box alat dan tang ampere ke Dinas Lingkungan Hidup  </v>
      </c>
      <c r="D964" s="354"/>
      <c r="E964" s="354"/>
      <c r="F964" s="354"/>
      <c r="G964" s="354"/>
      <c r="H964" s="354"/>
      <c r="I964" s="354"/>
      <c r="J964" s="354"/>
      <c r="K964" s="354"/>
      <c r="L964" s="354"/>
      <c r="M964" s="354"/>
      <c r="N964" s="354"/>
      <c r="O964" s="354"/>
      <c r="P964" s="354"/>
      <c r="Q964" s="354"/>
      <c r="R964" s="354"/>
      <c r="S964" s="354"/>
      <c r="T964" s="354"/>
      <c r="U964" s="354"/>
      <c r="V964" s="27"/>
    </row>
    <row r="965" spans="1:22" s="20" customFormat="1" ht="18.75" customHeight="1">
      <c r="A965" s="802"/>
      <c r="B965" s="784"/>
      <c r="C965" s="784"/>
      <c r="D965" s="784"/>
      <c r="E965" s="784"/>
      <c r="F965" s="793"/>
      <c r="G965" s="793"/>
      <c r="H965" s="793"/>
      <c r="I965" s="793"/>
      <c r="J965" s="793"/>
      <c r="K965" s="793"/>
      <c r="L965" s="793"/>
      <c r="M965" s="793"/>
      <c r="N965" s="793"/>
      <c r="O965" s="793"/>
      <c r="P965" s="793"/>
      <c r="Q965" s="793"/>
      <c r="R965" s="784"/>
      <c r="S965" s="784"/>
      <c r="T965" s="784"/>
      <c r="U965" s="784"/>
      <c r="V965" s="27"/>
    </row>
    <row r="966" spans="1:22" s="20" customFormat="1" ht="15.75" customHeight="1">
      <c r="A966" s="802"/>
      <c r="B966" s="774" t="s">
        <v>440</v>
      </c>
      <c r="C966" s="775" t="s">
        <v>441</v>
      </c>
      <c r="D966" s="775"/>
      <c r="E966" s="775"/>
      <c r="F966" s="775"/>
      <c r="G966" s="775"/>
      <c r="H966" s="775"/>
      <c r="I966" s="775"/>
      <c r="J966" s="775"/>
      <c r="K966" s="775"/>
      <c r="L966" s="775"/>
      <c r="M966" s="775"/>
      <c r="N966" s="775"/>
      <c r="O966" s="775"/>
      <c r="P966" s="775"/>
      <c r="Q966" s="775"/>
      <c r="R966" s="775"/>
      <c r="S966" s="775"/>
      <c r="T966" s="775"/>
      <c r="U966" s="775"/>
      <c r="V966" s="27"/>
    </row>
    <row r="967" spans="1:22" s="20" customFormat="1" ht="61.5" customHeight="1">
      <c r="A967" s="802"/>
      <c r="C967" s="313" t="str">
        <f>"Nilai aset tetap berupa alat ukur  per "&amp;'[1]2.ISIAN DATA SKPD'!D8&amp;" dan  "&amp;'[1]2.ISIAN DATA SKPD'!D12&amp;" adalah sebesar Rp. "&amp;FIXED(R972)&amp;" dan Rp. "&amp;FIXED(B972)&amp;" mengalami kenaikan/penurunan sebesar Rp. "&amp;FIXED('[1]4.NERACA'!K83)&amp;" atau sebesar "&amp;FIXED('[1]4.NERACA'!J83)&amp;"% dari tahun "&amp;'[1]2.ISIAN DATA SKPD'!D12&amp;"."</f>
        <v>Nilai aset tetap berupa alat ukur  per 31 Desember 2017 dan  2016 adalah sebesar Rp. 89,850,812.00 dan Rp. 286,765,812.00 mengalami kenaikan/penurunan sebesar Rp. -196,915,000.00 atau sebesar -68.67% dari tahun 2016.</v>
      </c>
      <c r="D967" s="313"/>
      <c r="E967" s="313"/>
      <c r="F967" s="313"/>
      <c r="G967" s="313"/>
      <c r="H967" s="313"/>
      <c r="I967" s="313"/>
      <c r="J967" s="313"/>
      <c r="K967" s="313"/>
      <c r="L967" s="313"/>
      <c r="M967" s="313"/>
      <c r="N967" s="313"/>
      <c r="O967" s="313"/>
      <c r="P967" s="313"/>
      <c r="Q967" s="313"/>
      <c r="R967" s="313"/>
      <c r="S967" s="313"/>
      <c r="T967" s="313"/>
      <c r="U967" s="313"/>
      <c r="V967" s="27"/>
    </row>
    <row r="968" spans="1:22" s="20" customFormat="1" ht="18.75" customHeight="1">
      <c r="A968" s="14"/>
      <c r="C968" s="313" t="str">
        <f>"Dengan mutasi  selama tahun "&amp;'[1]2.ISIAN DATA SKPD'!D11&amp;" sebagai berikut :"</f>
        <v>Dengan mutasi  selama tahun 2017 sebagai berikut :</v>
      </c>
      <c r="D968" s="313"/>
      <c r="E968" s="313"/>
      <c r="F968" s="313"/>
      <c r="G968" s="313"/>
      <c r="H968" s="313"/>
      <c r="I968" s="313"/>
      <c r="J968" s="313"/>
      <c r="K968" s="313"/>
      <c r="L968" s="313"/>
      <c r="M968" s="313"/>
      <c r="N968" s="313"/>
      <c r="O968" s="313"/>
      <c r="P968" s="313"/>
      <c r="Q968" s="313"/>
      <c r="R968" s="313"/>
      <c r="S968" s="313"/>
      <c r="T968" s="313"/>
      <c r="U968" s="313"/>
      <c r="V968" s="27"/>
    </row>
    <row r="969" spans="1:22" s="20" customFormat="1" ht="21.75" customHeight="1">
      <c r="A969" s="14"/>
      <c r="C969" s="285"/>
      <c r="D969" s="285"/>
      <c r="E969" s="285"/>
      <c r="F969" s="285"/>
      <c r="G969" s="285"/>
      <c r="H969" s="285"/>
      <c r="I969" s="285"/>
      <c r="J969" s="285"/>
      <c r="K969" s="285"/>
      <c r="L969" s="285"/>
      <c r="M969" s="285"/>
      <c r="N969" s="285"/>
      <c r="O969" s="285"/>
      <c r="P969" s="285"/>
      <c r="Q969" s="285"/>
      <c r="R969" s="285"/>
      <c r="S969" s="285"/>
      <c r="T969" s="285"/>
      <c r="U969" s="285"/>
      <c r="V969" s="27"/>
    </row>
    <row r="970" spans="1:22" s="20" customFormat="1" ht="33.75" customHeight="1">
      <c r="A970" s="726" t="s">
        <v>84</v>
      </c>
      <c r="B970" s="727" t="s">
        <v>411</v>
      </c>
      <c r="C970" s="728"/>
      <c r="D970" s="728"/>
      <c r="E970" s="729"/>
      <c r="F970" s="730" t="s">
        <v>412</v>
      </c>
      <c r="G970" s="730"/>
      <c r="H970" s="730"/>
      <c r="I970" s="730"/>
      <c r="J970" s="730"/>
      <c r="K970" s="730"/>
      <c r="L970" s="730" t="s">
        <v>413</v>
      </c>
      <c r="M970" s="730"/>
      <c r="N970" s="730"/>
      <c r="O970" s="730"/>
      <c r="P970" s="730"/>
      <c r="Q970" s="730"/>
      <c r="R970" s="731" t="s">
        <v>414</v>
      </c>
      <c r="S970" s="731"/>
      <c r="T970" s="731"/>
      <c r="U970" s="731"/>
      <c r="V970" s="27"/>
    </row>
    <row r="971" spans="1:22" s="20" customFormat="1" ht="19.5" customHeight="1">
      <c r="A971" s="732"/>
      <c r="B971" s="733">
        <f>B932</f>
        <v>2017</v>
      </c>
      <c r="C971" s="734"/>
      <c r="D971" s="734"/>
      <c r="E971" s="735"/>
      <c r="F971" s="731" t="s">
        <v>415</v>
      </c>
      <c r="G971" s="731"/>
      <c r="H971" s="731"/>
      <c r="I971" s="731" t="s">
        <v>416</v>
      </c>
      <c r="J971" s="731"/>
      <c r="K971" s="731"/>
      <c r="L971" s="731" t="s">
        <v>415</v>
      </c>
      <c r="M971" s="731"/>
      <c r="N971" s="731"/>
      <c r="O971" s="736" t="s">
        <v>416</v>
      </c>
      <c r="P971" s="736"/>
      <c r="Q971" s="736"/>
      <c r="R971" s="776">
        <f>R932</f>
        <v>2017</v>
      </c>
      <c r="S971" s="791"/>
      <c r="T971" s="791"/>
      <c r="U971" s="792"/>
      <c r="V971" s="27"/>
    </row>
    <row r="972" spans="1:22" s="20" customFormat="1" ht="18.75" customHeight="1">
      <c r="A972" s="771" t="str">
        <f>C966</f>
        <v>Alat  Ukur</v>
      </c>
      <c r="B972" s="740">
        <f>'[1]4.NERACA'!D83</f>
        <v>286765812</v>
      </c>
      <c r="C972" s="741"/>
      <c r="D972" s="741"/>
      <c r="E972" s="742"/>
      <c r="F972" s="740">
        <f>'[1]4.NERACA'!E83</f>
        <v>0</v>
      </c>
      <c r="G972" s="741"/>
      <c r="H972" s="742"/>
      <c r="I972" s="740">
        <f>'[1]4.NERACA'!F83</f>
        <v>0</v>
      </c>
      <c r="J972" s="741"/>
      <c r="K972" s="742"/>
      <c r="L972" s="740">
        <f>'[1]4.NERACA'!G83</f>
        <v>0</v>
      </c>
      <c r="M972" s="741"/>
      <c r="N972" s="742"/>
      <c r="O972" s="740">
        <f>'[1]4.NERACA'!H83</f>
        <v>196915000</v>
      </c>
      <c r="P972" s="741"/>
      <c r="Q972" s="742"/>
      <c r="R972" s="740">
        <f>B972+F972-I972+L972-O972</f>
        <v>89850812</v>
      </c>
      <c r="S972" s="741"/>
      <c r="T972" s="741"/>
      <c r="U972" s="742"/>
      <c r="V972" s="27"/>
    </row>
    <row r="973" spans="1:22" s="20" customFormat="1" ht="15.75" customHeight="1">
      <c r="A973" s="782"/>
      <c r="B973" s="772" t="s">
        <v>436</v>
      </c>
      <c r="C973" s="772"/>
      <c r="D973" s="772"/>
      <c r="E973" s="772"/>
      <c r="F973" s="772"/>
      <c r="G973" s="772"/>
      <c r="H973" s="772"/>
      <c r="I973" s="772"/>
      <c r="J973" s="772"/>
      <c r="K973" s="772"/>
      <c r="L973" s="772"/>
      <c r="M973" s="772"/>
      <c r="N973" s="772"/>
      <c r="O973" s="772"/>
      <c r="P973" s="772"/>
      <c r="Q973" s="772"/>
      <c r="R973" s="772"/>
      <c r="S973" s="772"/>
      <c r="T973" s="772"/>
      <c r="U973" s="772"/>
      <c r="V973" s="27"/>
    </row>
    <row r="974" spans="1:22" s="20" customFormat="1" ht="28.35" customHeight="1">
      <c r="A974" s="782"/>
      <c r="B974" s="795"/>
      <c r="C974" s="428" t="s">
        <v>428</v>
      </c>
      <c r="D974" s="428"/>
      <c r="E974" s="428"/>
      <c r="F974" s="428"/>
      <c r="G974" s="428"/>
      <c r="H974" s="428"/>
      <c r="I974" s="428"/>
      <c r="J974" s="428"/>
      <c r="K974" s="428"/>
      <c r="L974" s="428"/>
      <c r="M974" s="428"/>
      <c r="N974" s="428"/>
      <c r="O974" s="428"/>
      <c r="P974" s="428"/>
      <c r="Q974" s="428"/>
      <c r="R974" s="428"/>
      <c r="S974" s="428"/>
      <c r="T974" s="428"/>
      <c r="U974" s="428"/>
      <c r="V974" s="27"/>
    </row>
    <row r="975" spans="1:22" s="20" customFormat="1" ht="21.75" customHeight="1">
      <c r="A975" s="782"/>
      <c r="B975" s="442"/>
      <c r="C975" s="354" t="str">
        <f>"Mutasi Debet sebesar Rp. "&amp;FIXED(F972+L972)&amp;" "</f>
        <v xml:space="preserve">Mutasi Debet sebesar Rp. 0.00 </v>
      </c>
      <c r="D975" s="354"/>
      <c r="E975" s="354"/>
      <c r="F975" s="354"/>
      <c r="G975" s="354"/>
      <c r="H975" s="354"/>
      <c r="I975" s="354"/>
      <c r="J975" s="354"/>
      <c r="K975" s="354"/>
      <c r="L975" s="354"/>
      <c r="M975" s="354"/>
      <c r="N975" s="354"/>
      <c r="O975" s="354"/>
      <c r="P975" s="354"/>
      <c r="Q975" s="354"/>
      <c r="R975" s="354"/>
      <c r="S975" s="354"/>
      <c r="T975" s="354"/>
      <c r="U975" s="354"/>
      <c r="V975" s="27"/>
    </row>
    <row r="976" spans="1:22" s="20" customFormat="1" ht="21" customHeight="1">
      <c r="A976" s="782"/>
      <c r="B976" s="795"/>
      <c r="C976" s="428" t="s">
        <v>430</v>
      </c>
      <c r="D976" s="428"/>
      <c r="E976" s="428"/>
      <c r="F976" s="428"/>
      <c r="G976" s="428"/>
      <c r="H976" s="428"/>
      <c r="I976" s="428"/>
      <c r="J976" s="428"/>
      <c r="K976" s="428"/>
      <c r="L976" s="428"/>
      <c r="M976" s="428"/>
      <c r="N976" s="428"/>
      <c r="O976" s="428"/>
      <c r="P976" s="428"/>
      <c r="Q976" s="428"/>
      <c r="R976" s="428"/>
      <c r="S976" s="428"/>
      <c r="T976" s="428"/>
      <c r="U976" s="428"/>
      <c r="V976" s="27"/>
    </row>
    <row r="977" spans="1:32" s="20" customFormat="1" ht="36.75" customHeight="1">
      <c r="A977" s="782"/>
      <c r="B977" s="442"/>
      <c r="C977" s="354" t="str">
        <f>"Mutasi Kredit Rp. "&amp;FIXED(I972+O972)&amp;" adalah mutasi ke dinas Lingkungan Hidup berupa GPS merk Garmin senilai Rp196.915.000."</f>
        <v>Mutasi Kredit Rp. 196,915,000.00 adalah mutasi ke dinas Lingkungan Hidup berupa GPS merk Garmin senilai Rp196.915.000.</v>
      </c>
      <c r="D977" s="354"/>
      <c r="E977" s="354"/>
      <c r="F977" s="354"/>
      <c r="G977" s="354"/>
      <c r="H977" s="354"/>
      <c r="I977" s="354"/>
      <c r="J977" s="354"/>
      <c r="K977" s="354"/>
      <c r="L977" s="354"/>
      <c r="M977" s="354"/>
      <c r="N977" s="354"/>
      <c r="O977" s="354"/>
      <c r="P977" s="354"/>
      <c r="Q977" s="354"/>
      <c r="R977" s="354"/>
      <c r="S977" s="354"/>
      <c r="T977" s="354"/>
      <c r="U977" s="354"/>
      <c r="V977" s="27"/>
    </row>
    <row r="978" spans="1:32" s="20" customFormat="1" ht="13.5" customHeight="1">
      <c r="A978" s="782"/>
      <c r="B978" s="784"/>
      <c r="C978" s="357"/>
      <c r="D978" s="357"/>
      <c r="E978" s="357"/>
      <c r="F978" s="357"/>
      <c r="G978" s="357"/>
      <c r="H978" s="357"/>
      <c r="I978" s="357"/>
      <c r="J978" s="357"/>
      <c r="K978" s="357"/>
      <c r="L978" s="357"/>
      <c r="M978" s="357"/>
      <c r="N978" s="357"/>
      <c r="O978" s="357"/>
      <c r="P978" s="357"/>
      <c r="Q978" s="357"/>
      <c r="R978" s="357"/>
      <c r="S978" s="357"/>
      <c r="T978" s="357"/>
      <c r="U978" s="357"/>
      <c r="V978" s="27"/>
    </row>
    <row r="979" spans="1:32" s="20" customFormat="1" ht="15.75" customHeight="1">
      <c r="A979" s="14"/>
      <c r="B979" s="774" t="s">
        <v>442</v>
      </c>
      <c r="C979" s="775" t="s">
        <v>443</v>
      </c>
      <c r="D979" s="775"/>
      <c r="E979" s="775"/>
      <c r="F979" s="775"/>
      <c r="G979" s="775"/>
      <c r="H979" s="775"/>
      <c r="I979" s="775"/>
      <c r="J979" s="775"/>
      <c r="K979" s="775"/>
      <c r="L979" s="775"/>
      <c r="M979" s="775"/>
      <c r="N979" s="775"/>
      <c r="O979" s="775"/>
      <c r="P979" s="775"/>
      <c r="Q979" s="775"/>
      <c r="R979" s="775"/>
      <c r="S979" s="775"/>
      <c r="T979" s="775"/>
      <c r="U979" s="775"/>
      <c r="V979" s="27"/>
    </row>
    <row r="980" spans="1:32" s="20" customFormat="1" ht="67.5" customHeight="1">
      <c r="A980" s="14"/>
      <c r="C980" s="313" t="str">
        <f>"Nilai aset tetap berupa alat Pengolahan per "&amp;'[1]2.ISIAN DATA SKPD'!D8&amp;" dan  "&amp;'[1]2.ISIAN DATA SKPD'!D12&amp;" adalah sebesar Rp. "&amp;FIXED(R984)&amp;" dan Rp. "&amp;FIXED(B984)&amp;" mengalami kenaikan/penurunan sebesar Rp. "&amp;FIXED('[1]4.NERACA'!K85)&amp;" atau sebesar "&amp;FIXED('[1]4.NERACA'!J85)&amp;"% dari tahun "&amp;'[1]2.ISIAN DATA SKPD'!D12&amp;"."</f>
        <v>Nilai aset tetap berupa alat Pengolahan per 31 Desember 2017 dan  2016 adalah sebesar Rp. 0.00 dan Rp. 215,550,000.00 mengalami kenaikan/penurunan sebesar Rp. -87,428,814.00 atau sebesar -58.85% dari tahun 2016.</v>
      </c>
      <c r="D980" s="313"/>
      <c r="E980" s="313"/>
      <c r="F980" s="313"/>
      <c r="G980" s="313"/>
      <c r="H980" s="313"/>
      <c r="I980" s="313"/>
      <c r="J980" s="313"/>
      <c r="K980" s="313"/>
      <c r="L980" s="313"/>
      <c r="M980" s="313"/>
      <c r="N980" s="313"/>
      <c r="O980" s="313"/>
      <c r="P980" s="313"/>
      <c r="Q980" s="313"/>
      <c r="R980" s="313"/>
      <c r="S980" s="313"/>
      <c r="T980" s="313"/>
      <c r="U980" s="313"/>
      <c r="V980" s="431"/>
      <c r="W980" s="665"/>
      <c r="X980" s="666"/>
      <c r="Y980" s="451" t="s">
        <v>417</v>
      </c>
      <c r="Z980" s="665"/>
      <c r="AA980" s="665"/>
      <c r="AB980" s="666"/>
      <c r="AC980" s="712" t="s">
        <v>404</v>
      </c>
      <c r="AD980" s="713"/>
      <c r="AE980" s="713"/>
      <c r="AF980" s="713"/>
    </row>
    <row r="981" spans="1:32" s="20" customFormat="1" ht="16.5" customHeight="1">
      <c r="A981" s="14"/>
      <c r="B981" s="593"/>
      <c r="C981" s="568" t="str">
        <f>"Dengan mutasi  selama tahun "&amp;'[1]2.ISIAN DATA SKPD'!D11&amp;" sebagai berikut :"</f>
        <v>Dengan mutasi  selama tahun 2017 sebagai berikut :</v>
      </c>
      <c r="D981" s="568"/>
      <c r="E981" s="568"/>
      <c r="F981" s="568"/>
      <c r="G981" s="568"/>
      <c r="H981" s="568"/>
      <c r="I981" s="568"/>
      <c r="J981" s="568"/>
      <c r="K981" s="568"/>
      <c r="L981" s="568"/>
      <c r="M981" s="568"/>
      <c r="N981" s="568"/>
      <c r="O981" s="568"/>
      <c r="P981" s="568"/>
      <c r="Q981" s="568"/>
      <c r="R981" s="568"/>
      <c r="S981" s="568"/>
      <c r="T981" s="568"/>
      <c r="U981" s="568"/>
      <c r="V981" s="766"/>
      <c r="W981" s="169"/>
      <c r="X981" s="170"/>
      <c r="Y981" s="767">
        <f>(R984-B984)/B984*100</f>
        <v>-100</v>
      </c>
      <c r="Z981" s="169"/>
      <c r="AA981" s="169"/>
      <c r="AB981" s="170"/>
      <c r="AC981" s="451">
        <f>R984-B984</f>
        <v>-215550000</v>
      </c>
      <c r="AD981" s="452"/>
      <c r="AE981" s="452"/>
      <c r="AF981" s="452"/>
    </row>
    <row r="982" spans="1:32" s="20" customFormat="1" ht="22.5" customHeight="1">
      <c r="A982" s="726" t="s">
        <v>84</v>
      </c>
      <c r="B982" s="573" t="s">
        <v>411</v>
      </c>
      <c r="C982" s="457"/>
      <c r="D982" s="457"/>
      <c r="E982" s="458"/>
      <c r="F982" s="786" t="s">
        <v>412</v>
      </c>
      <c r="G982" s="786"/>
      <c r="H982" s="786"/>
      <c r="I982" s="786"/>
      <c r="J982" s="786"/>
      <c r="K982" s="786"/>
      <c r="L982" s="786" t="s">
        <v>413</v>
      </c>
      <c r="M982" s="786"/>
      <c r="N982" s="786"/>
      <c r="O982" s="786"/>
      <c r="P982" s="786"/>
      <c r="Q982" s="786"/>
      <c r="R982" s="99" t="s">
        <v>414</v>
      </c>
      <c r="S982" s="99"/>
      <c r="T982" s="99"/>
      <c r="U982" s="99"/>
      <c r="V982" s="768"/>
      <c r="W982" s="169"/>
      <c r="X982" s="169"/>
      <c r="Y982" s="465"/>
      <c r="Z982" s="169"/>
      <c r="AA982" s="169"/>
      <c r="AB982" s="169"/>
      <c r="AC982" s="465"/>
      <c r="AD982" s="465"/>
      <c r="AE982" s="465"/>
      <c r="AF982" s="465"/>
    </row>
    <row r="983" spans="1:32" s="20" customFormat="1" ht="22.5" customHeight="1">
      <c r="A983" s="732"/>
      <c r="B983" s="787">
        <f>B971</f>
        <v>2017</v>
      </c>
      <c r="C983" s="788"/>
      <c r="D983" s="788"/>
      <c r="E983" s="789"/>
      <c r="F983" s="573" t="s">
        <v>415</v>
      </c>
      <c r="G983" s="457"/>
      <c r="H983" s="458"/>
      <c r="I983" s="573" t="s">
        <v>416</v>
      </c>
      <c r="J983" s="457"/>
      <c r="K983" s="458"/>
      <c r="L983" s="573" t="s">
        <v>415</v>
      </c>
      <c r="M983" s="457"/>
      <c r="N983" s="458"/>
      <c r="O983" s="218" t="s">
        <v>416</v>
      </c>
      <c r="P983" s="219"/>
      <c r="Q983" s="220"/>
      <c r="R983" s="776">
        <f>R971</f>
        <v>2017</v>
      </c>
      <c r="S983" s="791"/>
      <c r="T983" s="791"/>
      <c r="U983" s="792"/>
    </row>
    <row r="984" spans="1:32" s="20" customFormat="1" ht="31.5" customHeight="1">
      <c r="A984" s="771" t="str">
        <f>C979</f>
        <v>Alat  Pengolahan</v>
      </c>
      <c r="B984" s="740">
        <f>'[1]4.NERACA'!D84</f>
        <v>215550000</v>
      </c>
      <c r="C984" s="741"/>
      <c r="D984" s="741"/>
      <c r="E984" s="742"/>
      <c r="F984" s="740">
        <f>'[1]4.NERACA'!E84</f>
        <v>0</v>
      </c>
      <c r="G984" s="741"/>
      <c r="H984" s="742"/>
      <c r="I984" s="740">
        <f>'[1]4.NERACA'!F84</f>
        <v>0</v>
      </c>
      <c r="J984" s="741"/>
      <c r="K984" s="742"/>
      <c r="L984" s="740">
        <f>'[1]4.NERACA'!G84</f>
        <v>0</v>
      </c>
      <c r="M984" s="741"/>
      <c r="N984" s="742"/>
      <c r="O984" s="740">
        <f>'[1]4.NERACA'!H84</f>
        <v>215550000</v>
      </c>
      <c r="P984" s="741"/>
      <c r="Q984" s="742"/>
      <c r="R984" s="686">
        <f>B984+F984-I984+L984-O984</f>
        <v>0</v>
      </c>
      <c r="S984" s="687"/>
      <c r="T984" s="687"/>
      <c r="U984" s="688"/>
    </row>
    <row r="985" spans="1:32" s="20" customFormat="1" ht="15.75" customHeight="1">
      <c r="A985" s="782"/>
      <c r="B985" s="772" t="s">
        <v>436</v>
      </c>
      <c r="C985" s="772"/>
      <c r="D985" s="772"/>
      <c r="E985" s="772"/>
      <c r="F985" s="772"/>
      <c r="G985" s="772"/>
      <c r="H985" s="772"/>
      <c r="I985" s="772"/>
      <c r="J985" s="772"/>
      <c r="K985" s="772"/>
      <c r="L985" s="772"/>
      <c r="M985" s="772"/>
      <c r="N985" s="772"/>
      <c r="O985" s="772"/>
      <c r="P985" s="772"/>
      <c r="Q985" s="772"/>
      <c r="R985" s="772"/>
      <c r="S985" s="772"/>
      <c r="T985" s="772"/>
      <c r="U985" s="772"/>
    </row>
    <row r="986" spans="1:32" s="20" customFormat="1" ht="15.75" customHeight="1">
      <c r="A986" s="782"/>
      <c r="B986" s="442"/>
      <c r="C986" s="428" t="s">
        <v>428</v>
      </c>
      <c r="D986" s="428"/>
      <c r="E986" s="428"/>
      <c r="F986" s="428"/>
      <c r="G986" s="428"/>
      <c r="H986" s="428"/>
      <c r="I986" s="428"/>
      <c r="J986" s="428"/>
      <c r="K986" s="428"/>
      <c r="L986" s="428"/>
      <c r="M986" s="428"/>
      <c r="N986" s="428"/>
      <c r="O986" s="428"/>
      <c r="P986" s="428"/>
      <c r="Q986" s="428"/>
      <c r="R986" s="428"/>
      <c r="S986" s="428"/>
      <c r="T986" s="428"/>
      <c r="U986" s="428"/>
      <c r="V986" s="27"/>
    </row>
    <row r="987" spans="1:32" s="20" customFormat="1" ht="18" customHeight="1">
      <c r="A987" s="782"/>
      <c r="B987" s="442"/>
      <c r="C987" s="354" t="str">
        <f>"Mutasi Debet sebesar Rp. "&amp;FIXED(F984+L984)&amp;" "</f>
        <v xml:space="preserve">Mutasi Debet sebesar Rp. 0.00 </v>
      </c>
      <c r="D987" s="354"/>
      <c r="E987" s="354"/>
      <c r="F987" s="354"/>
      <c r="G987" s="354"/>
      <c r="H987" s="354"/>
      <c r="I987" s="354"/>
      <c r="J987" s="354"/>
      <c r="K987" s="354"/>
      <c r="L987" s="354"/>
      <c r="M987" s="354"/>
      <c r="N987" s="354"/>
      <c r="O987" s="354"/>
      <c r="P987" s="354"/>
      <c r="Q987" s="354"/>
      <c r="R987" s="354"/>
      <c r="S987" s="354"/>
      <c r="T987" s="354"/>
      <c r="U987" s="354"/>
      <c r="V987" s="27"/>
    </row>
    <row r="988" spans="1:32" s="20" customFormat="1" ht="15.75" customHeight="1">
      <c r="A988" s="782"/>
      <c r="B988" s="442"/>
      <c r="C988" s="428" t="s">
        <v>430</v>
      </c>
      <c r="D988" s="428"/>
      <c r="E988" s="428"/>
      <c r="F988" s="428"/>
      <c r="G988" s="428"/>
      <c r="H988" s="428"/>
      <c r="I988" s="428"/>
      <c r="J988" s="428"/>
      <c r="K988" s="428"/>
      <c r="L988" s="428"/>
      <c r="M988" s="428"/>
      <c r="N988" s="428"/>
      <c r="O988" s="428"/>
      <c r="P988" s="428"/>
      <c r="Q988" s="428"/>
      <c r="R988" s="428"/>
      <c r="S988" s="428"/>
      <c r="T988" s="428"/>
      <c r="U988" s="428"/>
      <c r="V988" s="27"/>
    </row>
    <row r="989" spans="1:32" s="20" customFormat="1" ht="68.25" customHeight="1">
      <c r="A989" s="782"/>
      <c r="B989" s="442"/>
      <c r="C989" s="354" t="str">
        <f>"Mutasi Kredit Rp. "&amp;FIXED(I984+O984)&amp;" adalah mutasi ke dinas Lingkungan Hidup  berupa  mesin pengayak,mesin pencacah sampah,mesin pencacah organik,hand sprayer senilai Rp.215.550.000"</f>
        <v>Mutasi Kredit Rp. 215,550,000.00 adalah mutasi ke dinas Lingkungan Hidup  berupa  mesin pengayak,mesin pencacah sampah,mesin pencacah organik,hand sprayer senilai Rp.215.550.000</v>
      </c>
      <c r="D989" s="354"/>
      <c r="E989" s="354"/>
      <c r="F989" s="354"/>
      <c r="G989" s="354"/>
      <c r="H989" s="354"/>
      <c r="I989" s="354"/>
      <c r="J989" s="354"/>
      <c r="K989" s="354"/>
      <c r="L989" s="354"/>
      <c r="M989" s="354"/>
      <c r="N989" s="354"/>
      <c r="O989" s="354"/>
      <c r="P989" s="354"/>
      <c r="Q989" s="354"/>
      <c r="R989" s="354"/>
      <c r="S989" s="354"/>
      <c r="T989" s="354"/>
      <c r="U989" s="354"/>
      <c r="V989" s="27"/>
    </row>
    <row r="990" spans="1:32" s="20" customFormat="1" ht="9.75" customHeight="1">
      <c r="A990" s="42"/>
      <c r="V990" s="27"/>
    </row>
    <row r="991" spans="1:32" s="20" customFormat="1" ht="16.5" customHeight="1">
      <c r="A991" s="14"/>
      <c r="B991" s="774" t="s">
        <v>444</v>
      </c>
      <c r="C991" s="775" t="s">
        <v>445</v>
      </c>
      <c r="D991" s="775"/>
      <c r="E991" s="775"/>
      <c r="F991" s="775"/>
      <c r="G991" s="775"/>
      <c r="H991" s="775"/>
      <c r="I991" s="775"/>
      <c r="J991" s="775"/>
      <c r="K991" s="775"/>
      <c r="L991" s="775"/>
      <c r="M991" s="775"/>
      <c r="N991" s="775"/>
      <c r="O991" s="775"/>
      <c r="P991" s="775"/>
      <c r="Q991" s="775"/>
      <c r="R991" s="775"/>
      <c r="S991" s="775"/>
      <c r="T991" s="775"/>
      <c r="U991" s="775"/>
      <c r="V991" s="27"/>
    </row>
    <row r="992" spans="1:32" s="20" customFormat="1" ht="71.25" customHeight="1">
      <c r="A992" s="14"/>
      <c r="C992" s="313" t="str">
        <f>"Nilai aset tetap berupa alat rumah tangga  per "&amp;'[1]2.ISIAN DATA SKPD'!D8&amp;" dan  "&amp;'[1]2.ISIAN DATA SKPD'!D12&amp;" adalah sebesar Rp. "&amp;FIXED(R996)&amp;" dan Rp. "&amp;FIXED(B996)&amp;" mengalami kenaikan/penurunan sebesar Rp. "&amp;FIXED(AC993)&amp;" atau sebesar "&amp;FIXED(Y993)&amp;"%  dari tahun "&amp;'[1]2.ISIAN DATA SKPD'!D12&amp;"."</f>
        <v>Nilai aset tetap berupa alat rumah tangga  per 31 Desember 2017 dan  2016 adalah sebesar Rp. 61,128,167.00 dan Rp. 148,556,981.00 mengalami kenaikan/penurunan sebesar Rp. -87,428,814.00 atau sebesar -58.85%  dari tahun 2016.</v>
      </c>
      <c r="D992" s="313"/>
      <c r="E992" s="313"/>
      <c r="F992" s="313"/>
      <c r="G992" s="313"/>
      <c r="H992" s="313"/>
      <c r="I992" s="313"/>
      <c r="J992" s="313"/>
      <c r="K992" s="313"/>
      <c r="L992" s="313"/>
      <c r="M992" s="313"/>
      <c r="N992" s="313"/>
      <c r="O992" s="313"/>
      <c r="P992" s="313"/>
      <c r="Q992" s="313"/>
      <c r="R992" s="313"/>
      <c r="S992" s="313"/>
      <c r="T992" s="313"/>
      <c r="U992" s="313"/>
      <c r="V992" s="431"/>
      <c r="W992" s="665"/>
      <c r="X992" s="666"/>
      <c r="Y992" s="451" t="s">
        <v>417</v>
      </c>
      <c r="Z992" s="665"/>
      <c r="AA992" s="665"/>
      <c r="AB992" s="666"/>
      <c r="AC992" s="712" t="s">
        <v>404</v>
      </c>
      <c r="AD992" s="713"/>
      <c r="AE992" s="713"/>
      <c r="AF992" s="713"/>
    </row>
    <row r="993" spans="1:32" s="20" customFormat="1" ht="22.5" customHeight="1">
      <c r="A993" s="14"/>
      <c r="B993" s="593"/>
      <c r="C993" s="568" t="str">
        <f>"Dengan mutasi  selama tahun "&amp;'[1]2.ISIAN DATA SKPD'!D71&amp;" sebagai berikut :"</f>
        <v>Dengan mutasi  selama tahun  sebagai berikut :</v>
      </c>
      <c r="D993" s="568"/>
      <c r="E993" s="568"/>
      <c r="F993" s="568"/>
      <c r="G993" s="568"/>
      <c r="H993" s="568"/>
      <c r="I993" s="568"/>
      <c r="J993" s="568"/>
      <c r="K993" s="568"/>
      <c r="L993" s="568"/>
      <c r="M993" s="568"/>
      <c r="N993" s="568"/>
      <c r="O993" s="568"/>
      <c r="P993" s="568"/>
      <c r="Q993" s="568"/>
      <c r="R993" s="568"/>
      <c r="S993" s="568"/>
      <c r="T993" s="568"/>
      <c r="U993" s="568"/>
      <c r="V993" s="766"/>
      <c r="W993" s="169"/>
      <c r="X993" s="170"/>
      <c r="Y993" s="767">
        <f>(R996-B996)/B996*100</f>
        <v>-58.852040080162915</v>
      </c>
      <c r="Z993" s="169"/>
      <c r="AA993" s="169"/>
      <c r="AB993" s="170"/>
      <c r="AC993" s="767">
        <f>R996-B996</f>
        <v>-87428814</v>
      </c>
      <c r="AD993" s="465"/>
      <c r="AE993" s="465"/>
      <c r="AF993" s="465"/>
    </row>
    <row r="994" spans="1:32" s="20" customFormat="1" ht="22.5" customHeight="1">
      <c r="A994" s="726" t="s">
        <v>84</v>
      </c>
      <c r="B994" s="727" t="s">
        <v>411</v>
      </c>
      <c r="C994" s="728"/>
      <c r="D994" s="728"/>
      <c r="E994" s="729"/>
      <c r="F994" s="730" t="s">
        <v>412</v>
      </c>
      <c r="G994" s="730"/>
      <c r="H994" s="730"/>
      <c r="I994" s="730"/>
      <c r="J994" s="730"/>
      <c r="K994" s="730"/>
      <c r="L994" s="730" t="s">
        <v>413</v>
      </c>
      <c r="M994" s="730"/>
      <c r="N994" s="730"/>
      <c r="O994" s="730"/>
      <c r="P994" s="730"/>
      <c r="Q994" s="730"/>
      <c r="R994" s="731" t="s">
        <v>414</v>
      </c>
      <c r="S994" s="731"/>
      <c r="T994" s="731"/>
      <c r="U994" s="731"/>
      <c r="V994" s="27"/>
    </row>
    <row r="995" spans="1:32" s="20" customFormat="1" ht="22.5" customHeight="1">
      <c r="A995" s="732"/>
      <c r="B995" s="733">
        <f>B983</f>
        <v>2017</v>
      </c>
      <c r="C995" s="734"/>
      <c r="D995" s="734"/>
      <c r="E995" s="735"/>
      <c r="F995" s="731" t="s">
        <v>415</v>
      </c>
      <c r="G995" s="731"/>
      <c r="H995" s="731"/>
      <c r="I995" s="731" t="s">
        <v>416</v>
      </c>
      <c r="J995" s="731"/>
      <c r="K995" s="731"/>
      <c r="L995" s="731" t="s">
        <v>415</v>
      </c>
      <c r="M995" s="731"/>
      <c r="N995" s="731"/>
      <c r="O995" s="736" t="s">
        <v>416</v>
      </c>
      <c r="P995" s="736"/>
      <c r="Q995" s="736"/>
      <c r="R995" s="776">
        <f>R983</f>
        <v>2017</v>
      </c>
      <c r="S995" s="791"/>
      <c r="T995" s="791"/>
      <c r="U995" s="792"/>
    </row>
    <row r="996" spans="1:32" s="20" customFormat="1" ht="21" customHeight="1">
      <c r="A996" s="771" t="str">
        <f>C991</f>
        <v>Alat  Kantor</v>
      </c>
      <c r="B996" s="799">
        <f>'[1]4.NERACA'!D85</f>
        <v>148556981</v>
      </c>
      <c r="C996" s="800"/>
      <c r="D996" s="800"/>
      <c r="E996" s="801"/>
      <c r="F996" s="799">
        <f>'[1]4.NERACA'!E85</f>
        <v>1200000</v>
      </c>
      <c r="G996" s="800"/>
      <c r="H996" s="801"/>
      <c r="I996" s="799">
        <f>'[1]4.NERACA'!F85</f>
        <v>0</v>
      </c>
      <c r="J996" s="800"/>
      <c r="K996" s="801"/>
      <c r="L996" s="799">
        <f>'[1]4.NERACA'!G85</f>
        <v>0</v>
      </c>
      <c r="M996" s="800"/>
      <c r="N996" s="801"/>
      <c r="O996" s="799">
        <f>'[1]4.NERACA'!H85</f>
        <v>88628814</v>
      </c>
      <c r="P996" s="800"/>
      <c r="Q996" s="801"/>
      <c r="R996" s="799">
        <f>B996+F996-I996+L996-O996</f>
        <v>61128167</v>
      </c>
      <c r="S996" s="800"/>
      <c r="T996" s="800"/>
      <c r="U996" s="801"/>
    </row>
    <row r="997" spans="1:32" s="20" customFormat="1" ht="15.75" customHeight="1">
      <c r="A997" s="782"/>
      <c r="B997" s="772" t="s">
        <v>436</v>
      </c>
      <c r="C997" s="772"/>
      <c r="D997" s="772"/>
      <c r="E997" s="772"/>
      <c r="F997" s="772"/>
      <c r="G997" s="772"/>
      <c r="H997" s="772"/>
      <c r="I997" s="772"/>
      <c r="J997" s="772"/>
      <c r="K997" s="772"/>
      <c r="L997" s="772"/>
      <c r="M997" s="772"/>
      <c r="N997" s="772"/>
      <c r="O997" s="772"/>
      <c r="P997" s="772"/>
      <c r="Q997" s="772"/>
      <c r="R997" s="772"/>
      <c r="S997" s="772"/>
      <c r="T997" s="772"/>
      <c r="U997" s="772"/>
      <c r="V997" s="27"/>
    </row>
    <row r="998" spans="1:32" s="20" customFormat="1" ht="15.75" customHeight="1">
      <c r="A998" s="803"/>
      <c r="B998" s="442"/>
      <c r="C998" s="428" t="s">
        <v>428</v>
      </c>
      <c r="D998" s="428"/>
      <c r="E998" s="428"/>
      <c r="F998" s="428"/>
      <c r="G998" s="428"/>
      <c r="H998" s="428"/>
      <c r="I998" s="428"/>
      <c r="J998" s="428"/>
      <c r="K998" s="428"/>
      <c r="L998" s="428"/>
      <c r="M998" s="428"/>
      <c r="N998" s="428"/>
      <c r="O998" s="428"/>
      <c r="P998" s="428"/>
      <c r="Q998" s="428"/>
      <c r="R998" s="428"/>
      <c r="S998" s="428"/>
      <c r="T998" s="428"/>
      <c r="U998" s="428"/>
      <c r="V998" s="27"/>
    </row>
    <row r="999" spans="1:32" s="20" customFormat="1" ht="35.25" customHeight="1">
      <c r="A999" s="802"/>
      <c r="B999" s="442"/>
      <c r="C999" s="354" t="str">
        <f>"Mutasi Debet sebesar Rp. "&amp;FIXED(F996+L996)&amp;" adalah hasil koreksi kurang catatat 2 buah brankas  tahun "&amp;'[1]2.ISIAN DATA SKPD'!D11&amp;" dari kurang catat."</f>
        <v>Mutasi Debet sebesar Rp. 1,200,000.00 adalah hasil koreksi kurang catatat 2 buah brankas  tahun 2017 dari kurang catat.</v>
      </c>
      <c r="D999" s="354"/>
      <c r="E999" s="354"/>
      <c r="F999" s="354"/>
      <c r="G999" s="354"/>
      <c r="H999" s="354"/>
      <c r="I999" s="354"/>
      <c r="J999" s="354"/>
      <c r="K999" s="354"/>
      <c r="L999" s="354"/>
      <c r="M999" s="354"/>
      <c r="N999" s="354"/>
      <c r="O999" s="354"/>
      <c r="P999" s="354"/>
      <c r="Q999" s="354"/>
      <c r="R999" s="354"/>
      <c r="S999" s="354"/>
      <c r="T999" s="354"/>
      <c r="U999" s="354"/>
      <c r="V999" s="27"/>
    </row>
    <row r="1000" spans="1:32" s="20" customFormat="1" ht="22.5" customHeight="1">
      <c r="A1000" s="802"/>
      <c r="B1000" s="442"/>
      <c r="C1000" s="428" t="s">
        <v>430</v>
      </c>
      <c r="D1000" s="428"/>
      <c r="E1000" s="428"/>
      <c r="F1000" s="428"/>
      <c r="G1000" s="428"/>
      <c r="H1000" s="428"/>
      <c r="I1000" s="428"/>
      <c r="J1000" s="428"/>
      <c r="K1000" s="428"/>
      <c r="L1000" s="428"/>
      <c r="M1000" s="428"/>
      <c r="N1000" s="428"/>
      <c r="O1000" s="428"/>
      <c r="P1000" s="428"/>
      <c r="Q1000" s="428"/>
      <c r="R1000" s="428"/>
      <c r="S1000" s="428"/>
      <c r="T1000" s="428"/>
      <c r="U1000" s="428"/>
      <c r="V1000" s="27"/>
    </row>
    <row r="1001" spans="1:32" s="20" customFormat="1" ht="66" customHeight="1">
      <c r="A1001" s="802"/>
      <c r="B1001" s="442"/>
      <c r="C1001" s="354" t="str">
        <f>"Mutasi Kredit Rp. "&amp;FIXED(I996+O996)&amp;" adalah mutasi aset ke Dinas Lingkungan Hidup berupa mesin ketik,filing cabinet,almari,brankas,rak bibit rangka besi,bendo,sabit lampu dan jam dinding dengan total nilaiRp.88,628.814"</f>
        <v>Mutasi Kredit Rp. 88,628,814.00 adalah mutasi aset ke Dinas Lingkungan Hidup berupa mesin ketik,filing cabinet,almari,brankas,rak bibit rangka besi,bendo,sabit lampu dan jam dinding dengan total nilaiRp.88,628.814</v>
      </c>
      <c r="D1001" s="354"/>
      <c r="E1001" s="354"/>
      <c r="F1001" s="354"/>
      <c r="G1001" s="354"/>
      <c r="H1001" s="354"/>
      <c r="I1001" s="354"/>
      <c r="J1001" s="354"/>
      <c r="K1001" s="354"/>
      <c r="L1001" s="354"/>
      <c r="M1001" s="354"/>
      <c r="N1001" s="354"/>
      <c r="O1001" s="354"/>
      <c r="P1001" s="354"/>
      <c r="Q1001" s="354"/>
      <c r="R1001" s="354"/>
      <c r="S1001" s="354"/>
      <c r="T1001" s="354"/>
      <c r="U1001" s="354"/>
      <c r="V1001" s="27"/>
    </row>
    <row r="1002" spans="1:32" s="20" customFormat="1" ht="12.75" customHeight="1">
      <c r="A1002" s="802"/>
      <c r="B1002" s="126"/>
      <c r="C1002" s="126"/>
      <c r="D1002" s="126"/>
      <c r="E1002" s="126"/>
      <c r="F1002" s="126"/>
      <c r="G1002" s="126"/>
      <c r="H1002" s="126"/>
      <c r="I1002" s="126"/>
      <c r="J1002" s="126"/>
      <c r="K1002" s="126"/>
      <c r="L1002" s="126"/>
      <c r="M1002" s="126"/>
      <c r="N1002" s="126"/>
      <c r="O1002" s="126"/>
      <c r="P1002" s="126"/>
      <c r="Q1002" s="442"/>
      <c r="R1002" s="442"/>
      <c r="S1002" s="442"/>
      <c r="T1002" s="442"/>
      <c r="U1002" s="442"/>
      <c r="V1002" s="27"/>
    </row>
    <row r="1003" spans="1:32" s="20" customFormat="1" ht="22.5" customHeight="1">
      <c r="A1003" s="802"/>
      <c r="B1003" s="774" t="s">
        <v>446</v>
      </c>
      <c r="C1003" s="775" t="s">
        <v>447</v>
      </c>
      <c r="D1003" s="775"/>
      <c r="E1003" s="775"/>
      <c r="F1003" s="775"/>
      <c r="G1003" s="775"/>
      <c r="H1003" s="775"/>
      <c r="I1003" s="775"/>
      <c r="J1003" s="775"/>
      <c r="K1003" s="775"/>
      <c r="L1003" s="775"/>
      <c r="M1003" s="775"/>
      <c r="N1003" s="775"/>
      <c r="O1003" s="775"/>
      <c r="P1003" s="775"/>
      <c r="Q1003" s="775"/>
      <c r="R1003" s="775"/>
      <c r="S1003" s="775"/>
      <c r="T1003" s="775"/>
      <c r="U1003" s="775"/>
      <c r="V1003" s="27"/>
    </row>
    <row r="1004" spans="1:32" s="20" customFormat="1" ht="61.5" customHeight="1">
      <c r="A1004" s="802"/>
      <c r="C1004" s="313" t="str">
        <f>"Nilai aset tetap berupa alat Rumah tangga  per "&amp;'[1]2.ISIAN DATA SKPD'!D8&amp;" dan  "&amp;'[1]2.ISIAN DATA SKPD'!D12&amp;" adalah sebesar Rp. "&amp;FIXED(R1008)&amp;" dan Rp. "&amp;FIXED(B1008)&amp;" mengalami kenaikan/penurunan sebesar Rp. "&amp;FIXED(AC1005)&amp;" atau sebesar "&amp;FIXED(Y1005)&amp;"% dari tahun "&amp;'[1]2.ISIAN DATA SKPD'!D12&amp;"."</f>
        <v>Nilai aset tetap berupa alat Rumah tangga  per 31 Desember 2017 dan  2016 adalah sebesar Rp. 409,700,300.00 dan Rp. 431,458,214.00 mengalami kenaikan/penurunan sebesar Rp. -21,757,914.00 atau sebesar -5.04% dari tahun 2016.</v>
      </c>
      <c r="D1004" s="313"/>
      <c r="E1004" s="313"/>
      <c r="F1004" s="313"/>
      <c r="G1004" s="313"/>
      <c r="H1004" s="313"/>
      <c r="I1004" s="313"/>
      <c r="J1004" s="313"/>
      <c r="K1004" s="313"/>
      <c r="L1004" s="313"/>
      <c r="M1004" s="313"/>
      <c r="N1004" s="313"/>
      <c r="O1004" s="313"/>
      <c r="P1004" s="313"/>
      <c r="Q1004" s="313"/>
      <c r="R1004" s="313"/>
      <c r="S1004" s="313"/>
      <c r="T1004" s="313"/>
      <c r="U1004" s="313"/>
      <c r="V1004" s="804"/>
      <c r="W1004" s="805"/>
      <c r="X1004" s="805"/>
      <c r="Y1004" s="208" t="s">
        <v>417</v>
      </c>
      <c r="Z1004" s="805"/>
      <c r="AA1004" s="805"/>
      <c r="AB1004" s="805"/>
      <c r="AC1004" s="712" t="s">
        <v>404</v>
      </c>
      <c r="AD1004" s="713"/>
      <c r="AE1004" s="713"/>
      <c r="AF1004" s="806"/>
    </row>
    <row r="1005" spans="1:32" s="20" customFormat="1" ht="22.5" customHeight="1">
      <c r="A1005" s="807"/>
      <c r="B1005" s="285"/>
      <c r="C1005" s="568" t="str">
        <f>"Dengan mutasi  selama tahun "&amp;'[1]2.ISIAN DATA SKPD'!D11&amp;" sebagai berikut :"</f>
        <v>Dengan mutasi  selama tahun 2017 sebagai berikut :</v>
      </c>
      <c r="D1005" s="568"/>
      <c r="E1005" s="568"/>
      <c r="F1005" s="568"/>
      <c r="G1005" s="568"/>
      <c r="H1005" s="568"/>
      <c r="I1005" s="568"/>
      <c r="J1005" s="568"/>
      <c r="K1005" s="568"/>
      <c r="L1005" s="568"/>
      <c r="M1005" s="568"/>
      <c r="N1005" s="568"/>
      <c r="O1005" s="568"/>
      <c r="P1005" s="568"/>
      <c r="Q1005" s="568"/>
      <c r="R1005" s="568"/>
      <c r="S1005" s="568"/>
      <c r="T1005" s="568"/>
      <c r="U1005" s="568"/>
      <c r="V1005" s="808"/>
      <c r="W1005" s="805"/>
      <c r="X1005" s="805"/>
      <c r="Y1005" s="208">
        <f>(R1008-B1008)/B1008*100</f>
        <v>-5.0428786135011441</v>
      </c>
      <c r="Z1005" s="805"/>
      <c r="AA1005" s="805"/>
      <c r="AB1005" s="805"/>
      <c r="AC1005" s="451">
        <f>R1008-B1008</f>
        <v>-21757914</v>
      </c>
      <c r="AD1005" s="452"/>
      <c r="AE1005" s="452"/>
      <c r="AF1005" s="453"/>
    </row>
    <row r="1006" spans="1:32" s="20" customFormat="1" ht="22.5" customHeight="1">
      <c r="A1006" s="726" t="s">
        <v>84</v>
      </c>
      <c r="B1006" s="457" t="s">
        <v>411</v>
      </c>
      <c r="C1006" s="457"/>
      <c r="D1006" s="457"/>
      <c r="E1006" s="458"/>
      <c r="F1006" s="786" t="s">
        <v>412</v>
      </c>
      <c r="G1006" s="786"/>
      <c r="H1006" s="786"/>
      <c r="I1006" s="786"/>
      <c r="J1006" s="786"/>
      <c r="K1006" s="786"/>
      <c r="L1006" s="786" t="s">
        <v>413</v>
      </c>
      <c r="M1006" s="786"/>
      <c r="N1006" s="786"/>
      <c r="O1006" s="786"/>
      <c r="P1006" s="786"/>
      <c r="Q1006" s="786"/>
      <c r="R1006" s="99" t="s">
        <v>414</v>
      </c>
      <c r="S1006" s="99"/>
      <c r="T1006" s="99"/>
      <c r="U1006" s="99"/>
      <c r="V1006" s="27"/>
    </row>
    <row r="1007" spans="1:32" s="20" customFormat="1" ht="17.25" customHeight="1">
      <c r="A1007" s="732"/>
      <c r="B1007" s="788">
        <f>B995</f>
        <v>2017</v>
      </c>
      <c r="C1007" s="788"/>
      <c r="D1007" s="788"/>
      <c r="E1007" s="789"/>
      <c r="F1007" s="99" t="s">
        <v>415</v>
      </c>
      <c r="G1007" s="99"/>
      <c r="H1007" s="99"/>
      <c r="I1007" s="99" t="s">
        <v>416</v>
      </c>
      <c r="J1007" s="99"/>
      <c r="K1007" s="99"/>
      <c r="L1007" s="99" t="s">
        <v>415</v>
      </c>
      <c r="M1007" s="99"/>
      <c r="N1007" s="99"/>
      <c r="O1007" s="790" t="s">
        <v>416</v>
      </c>
      <c r="P1007" s="790"/>
      <c r="Q1007" s="790"/>
      <c r="R1007" s="776">
        <f>R995</f>
        <v>2017</v>
      </c>
      <c r="S1007" s="791"/>
      <c r="T1007" s="791"/>
      <c r="U1007" s="792"/>
    </row>
    <row r="1008" spans="1:32" s="20" customFormat="1" ht="30" customHeight="1">
      <c r="A1008" s="771" t="str">
        <f>C1003</f>
        <v>Alat Rumah tangga</v>
      </c>
      <c r="B1008" s="741">
        <f>'[1]4.NERACA'!D86</f>
        <v>431458214</v>
      </c>
      <c r="C1008" s="741"/>
      <c r="D1008" s="741"/>
      <c r="E1008" s="742"/>
      <c r="F1008" s="740">
        <f>'[1]4.NERACA'!E86</f>
        <v>13713417</v>
      </c>
      <c r="G1008" s="741"/>
      <c r="H1008" s="742"/>
      <c r="I1008" s="740">
        <f>'[1]4.NERACA'!F86</f>
        <v>11860827</v>
      </c>
      <c r="J1008" s="741"/>
      <c r="K1008" s="742"/>
      <c r="L1008" s="740">
        <f>'[1]4.NERACA'!G86</f>
        <v>24427500</v>
      </c>
      <c r="M1008" s="741"/>
      <c r="N1008" s="742"/>
      <c r="O1008" s="740">
        <f>'[1]4.NERACA'!H86</f>
        <v>48038004</v>
      </c>
      <c r="P1008" s="741"/>
      <c r="Q1008" s="742"/>
      <c r="R1008" s="740">
        <f>B1008+F1008-I1008+L1008-O1008</f>
        <v>409700300</v>
      </c>
      <c r="S1008" s="741"/>
      <c r="T1008" s="741"/>
      <c r="U1008" s="742"/>
    </row>
    <row r="1009" spans="1:32" s="20" customFormat="1" ht="20.25" customHeight="1">
      <c r="A1009" s="782"/>
      <c r="B1009" s="772" t="s">
        <v>436</v>
      </c>
      <c r="C1009" s="772"/>
      <c r="D1009" s="772"/>
      <c r="E1009" s="772"/>
      <c r="F1009" s="772"/>
      <c r="G1009" s="772"/>
      <c r="H1009" s="772"/>
      <c r="I1009" s="772"/>
      <c r="J1009" s="772"/>
      <c r="K1009" s="772"/>
      <c r="L1009" s="772"/>
      <c r="M1009" s="772"/>
      <c r="N1009" s="772"/>
      <c r="O1009" s="772"/>
      <c r="P1009" s="772"/>
      <c r="Q1009" s="772"/>
      <c r="R1009" s="772"/>
      <c r="S1009" s="772"/>
      <c r="T1009" s="772"/>
      <c r="U1009" s="772"/>
    </row>
    <row r="1010" spans="1:32" s="20" customFormat="1" ht="15.75" customHeight="1">
      <c r="A1010" s="782"/>
      <c r="B1010" s="442"/>
      <c r="C1010" s="428" t="s">
        <v>428</v>
      </c>
      <c r="D1010" s="428"/>
      <c r="E1010" s="428"/>
      <c r="F1010" s="428"/>
      <c r="G1010" s="428"/>
      <c r="H1010" s="428"/>
      <c r="I1010" s="428"/>
      <c r="J1010" s="428"/>
      <c r="K1010" s="428"/>
      <c r="L1010" s="428"/>
      <c r="M1010" s="428"/>
      <c r="N1010" s="428"/>
      <c r="O1010" s="428"/>
      <c r="P1010" s="428"/>
      <c r="Q1010" s="428"/>
      <c r="R1010" s="428"/>
      <c r="S1010" s="428"/>
      <c r="T1010" s="428"/>
      <c r="U1010" s="428"/>
      <c r="V1010" s="27"/>
    </row>
    <row r="1011" spans="1:32" s="20" customFormat="1" ht="45" customHeight="1">
      <c r="A1011" s="809"/>
      <c r="B1011" s="442"/>
      <c r="C1011" s="354" t="str">
        <f>"Mutasi Debet sebesar Rp. "&amp;FIXED(F1008+L1008)&amp;" adalah hasil reklas dari pengadaan barang tahun "&amp;'[1]2.ISIAN DATA SKPD'!D11&amp;" dari belanja modal berupa alat studio."</f>
        <v>Mutasi Debet sebesar Rp. 38,140,917.00 adalah hasil reklas dari pengadaan barang tahun 2017 dari belanja modal berupa alat studio.</v>
      </c>
      <c r="D1011" s="354"/>
      <c r="E1011" s="354"/>
      <c r="F1011" s="354"/>
      <c r="G1011" s="354"/>
      <c r="H1011" s="354"/>
      <c r="I1011" s="354"/>
      <c r="J1011" s="354"/>
      <c r="K1011" s="354"/>
      <c r="L1011" s="354"/>
      <c r="M1011" s="354"/>
      <c r="N1011" s="354"/>
      <c r="O1011" s="354"/>
      <c r="P1011" s="354"/>
      <c r="Q1011" s="354"/>
      <c r="R1011" s="354"/>
      <c r="S1011" s="354"/>
      <c r="T1011" s="354"/>
      <c r="U1011" s="354"/>
      <c r="V1011" s="27"/>
    </row>
    <row r="1012" spans="1:32" s="20" customFormat="1" ht="20.25" customHeight="1">
      <c r="A1012" s="782"/>
      <c r="B1012" s="442"/>
      <c r="C1012" s="428" t="s">
        <v>430</v>
      </c>
      <c r="D1012" s="428"/>
      <c r="E1012" s="428"/>
      <c r="F1012" s="428"/>
      <c r="G1012" s="428"/>
      <c r="H1012" s="428"/>
      <c r="I1012" s="428"/>
      <c r="J1012" s="428"/>
      <c r="K1012" s="428"/>
      <c r="L1012" s="428"/>
      <c r="M1012" s="428"/>
      <c r="N1012" s="428"/>
      <c r="O1012" s="428"/>
      <c r="P1012" s="428"/>
      <c r="Q1012" s="428"/>
      <c r="R1012" s="428"/>
      <c r="S1012" s="428"/>
      <c r="T1012" s="428"/>
      <c r="U1012" s="428"/>
      <c r="V1012" s="27"/>
    </row>
    <row r="1013" spans="1:32" s="20" customFormat="1" ht="55.5" customHeight="1">
      <c r="A1013" s="782"/>
      <c r="B1013" s="442"/>
      <c r="C1013" s="354" t="str">
        <f>"Mutasi Kredit Rp. "&amp;FIXED(I1008+O1008)&amp;" adalah penghapusan berupa Kursi senilai Rp.3.500.000 ,reklas ke meja kursi pejabat senilai Rp. 11.860.827,00 dan mutasi ke DLH senilai Rp. 44.538.004,00"</f>
        <v>Mutasi Kredit Rp. 59,898,831.00 adalah penghapusan berupa Kursi senilai Rp.3.500.000 ,reklas ke meja kursi pejabat senilai Rp. 11.860.827,00 dan mutasi ke DLH senilai Rp. 44.538.004,00</v>
      </c>
      <c r="D1013" s="354"/>
      <c r="E1013" s="354"/>
      <c r="F1013" s="354"/>
      <c r="G1013" s="354"/>
      <c r="H1013" s="354"/>
      <c r="I1013" s="354"/>
      <c r="J1013" s="354"/>
      <c r="K1013" s="354"/>
      <c r="L1013" s="354"/>
      <c r="M1013" s="354"/>
      <c r="N1013" s="354"/>
      <c r="O1013" s="354"/>
      <c r="P1013" s="354"/>
      <c r="Q1013" s="354"/>
      <c r="R1013" s="354"/>
      <c r="S1013" s="354"/>
      <c r="T1013" s="354"/>
      <c r="U1013" s="354"/>
      <c r="V1013" s="27"/>
    </row>
    <row r="1014" spans="1:32" s="20" customFormat="1" ht="12.75" customHeight="1">
      <c r="A1014" s="14"/>
      <c r="B1014" s="126"/>
      <c r="C1014" s="126"/>
      <c r="D1014" s="126"/>
      <c r="E1014" s="126"/>
      <c r="F1014" s="126"/>
      <c r="G1014" s="126"/>
      <c r="H1014" s="126"/>
      <c r="I1014" s="126"/>
      <c r="J1014" s="126"/>
      <c r="K1014" s="126"/>
      <c r="L1014" s="126"/>
      <c r="M1014" s="126"/>
      <c r="N1014" s="126"/>
      <c r="O1014" s="126"/>
      <c r="P1014" s="126"/>
      <c r="Q1014" s="442"/>
      <c r="R1014" s="442"/>
      <c r="S1014" s="442"/>
      <c r="T1014" s="442"/>
      <c r="U1014" s="442"/>
      <c r="V1014" s="27"/>
    </row>
    <row r="1015" spans="1:32" s="20" customFormat="1" ht="16.5" customHeight="1">
      <c r="A1015" s="810"/>
      <c r="B1015" s="811" t="s">
        <v>448</v>
      </c>
      <c r="C1015" s="812" t="str">
        <f>'[1]4.NERACA'!C87</f>
        <v>Komputer</v>
      </c>
      <c r="D1015" s="812"/>
      <c r="E1015" s="812"/>
      <c r="F1015" s="812"/>
      <c r="G1015" s="812"/>
      <c r="H1015" s="812"/>
      <c r="I1015" s="812"/>
      <c r="J1015" s="812"/>
      <c r="K1015" s="812"/>
      <c r="L1015" s="812"/>
      <c r="M1015" s="812"/>
      <c r="N1015" s="812"/>
      <c r="O1015" s="812"/>
      <c r="P1015" s="812"/>
      <c r="Q1015" s="812"/>
      <c r="R1015" s="812"/>
      <c r="S1015" s="812"/>
      <c r="T1015" s="812"/>
      <c r="U1015" s="812"/>
      <c r="V1015" s="27"/>
    </row>
    <row r="1016" spans="1:32" s="20" customFormat="1" ht="60" customHeight="1">
      <c r="A1016" s="14"/>
      <c r="C1016" s="313" t="str">
        <f>"Nilai aset tetap berupa Komputer per "&amp;'[1]2.ISIAN DATA SKPD'!D8&amp;" dan  "&amp;'[1]2.ISIAN DATA SKPD'!D12&amp;" adalah sebesar Rp. "&amp;FIXED(R1021)&amp;" dan Rp. "&amp;FIXED(B1021)&amp;" mengalami kenaikan sebesar Rp. "&amp;FIXED(AC1018)&amp;" atau sebesar "&amp;FIXED(Y1018)&amp;"% dari tahun "&amp;'[1]2.ISIAN DATA SKPD'!D12&amp;"."</f>
        <v>Nilai aset tetap berupa Komputer per 31 Desember 2017 dan  2016 adalah sebesar Rp. 531,392,530.00 dan Rp. 521,741,413.00 mengalami kenaikan sebesar Rp. 9,651,117.00 atau sebesar 1.85% dari tahun 2016.</v>
      </c>
      <c r="D1016" s="313"/>
      <c r="E1016" s="313"/>
      <c r="F1016" s="313"/>
      <c r="G1016" s="313"/>
      <c r="H1016" s="313"/>
      <c r="I1016" s="313"/>
      <c r="J1016" s="313"/>
      <c r="K1016" s="313"/>
      <c r="L1016" s="313"/>
      <c r="M1016" s="313"/>
      <c r="N1016" s="313"/>
      <c r="O1016" s="313"/>
      <c r="P1016" s="313"/>
      <c r="Q1016" s="313"/>
      <c r="R1016" s="313"/>
      <c r="S1016" s="313"/>
      <c r="T1016" s="313"/>
      <c r="U1016" s="313"/>
      <c r="V1016" s="27"/>
    </row>
    <row r="1017" spans="1:32" s="20" customFormat="1" ht="16.5" customHeight="1">
      <c r="A1017" s="14"/>
      <c r="B1017" s="567"/>
      <c r="C1017" s="313" t="str">
        <f>"Dengan mutasi  selama tahun "&amp;'[1]2.ISIAN DATA SKPD'!D11&amp;" sebagai berikut :"</f>
        <v>Dengan mutasi  selama tahun 2017 sebagai berikut :</v>
      </c>
      <c r="D1017" s="313"/>
      <c r="E1017" s="313"/>
      <c r="F1017" s="313"/>
      <c r="G1017" s="313"/>
      <c r="H1017" s="313"/>
      <c r="I1017" s="313"/>
      <c r="J1017" s="313"/>
      <c r="K1017" s="313"/>
      <c r="L1017" s="313"/>
      <c r="M1017" s="313"/>
      <c r="N1017" s="313"/>
      <c r="O1017" s="313"/>
      <c r="P1017" s="313"/>
      <c r="Q1017" s="313"/>
      <c r="R1017" s="313"/>
      <c r="S1017" s="313"/>
      <c r="T1017" s="313"/>
      <c r="U1017" s="313"/>
      <c r="V1017" s="804"/>
      <c r="W1017" s="805"/>
      <c r="X1017" s="805"/>
      <c r="Y1017" s="208" t="s">
        <v>417</v>
      </c>
      <c r="Z1017" s="805"/>
      <c r="AA1017" s="805"/>
      <c r="AB1017" s="805"/>
      <c r="AC1017" s="712" t="s">
        <v>404</v>
      </c>
      <c r="AD1017" s="713"/>
      <c r="AE1017" s="713"/>
      <c r="AF1017" s="806"/>
    </row>
    <row r="1018" spans="1:32" s="20" customFormat="1" ht="13.5" customHeight="1">
      <c r="A1018" s="14"/>
      <c r="B1018" s="593"/>
      <c r="C1018" s="285"/>
      <c r="D1018" s="285"/>
      <c r="E1018" s="285"/>
      <c r="F1018" s="285"/>
      <c r="G1018" s="285"/>
      <c r="H1018" s="285"/>
      <c r="I1018" s="285"/>
      <c r="J1018" s="285"/>
      <c r="K1018" s="285"/>
      <c r="L1018" s="285"/>
      <c r="M1018" s="285"/>
      <c r="N1018" s="285"/>
      <c r="O1018" s="285"/>
      <c r="P1018" s="285"/>
      <c r="Q1018" s="285"/>
      <c r="R1018" s="285"/>
      <c r="S1018" s="285"/>
      <c r="T1018" s="285"/>
      <c r="U1018" s="285"/>
      <c r="V1018" s="808"/>
      <c r="W1018" s="805"/>
      <c r="X1018" s="805"/>
      <c r="Y1018" s="208">
        <f>(R1021-B1021)/B1021*100</f>
        <v>1.8497893323258203</v>
      </c>
      <c r="Z1018" s="805"/>
      <c r="AA1018" s="805"/>
      <c r="AB1018" s="805"/>
      <c r="AC1018" s="451">
        <f>R1021-B1021</f>
        <v>9651117</v>
      </c>
      <c r="AD1018" s="452"/>
      <c r="AE1018" s="452"/>
      <c r="AF1018" s="453"/>
    </row>
    <row r="1019" spans="1:32" s="20" customFormat="1" ht="32.25" customHeight="1">
      <c r="A1019" s="726" t="s">
        <v>84</v>
      </c>
      <c r="B1019" s="727" t="s">
        <v>411</v>
      </c>
      <c r="C1019" s="728"/>
      <c r="D1019" s="728"/>
      <c r="E1019" s="729"/>
      <c r="F1019" s="730" t="s">
        <v>412</v>
      </c>
      <c r="G1019" s="730"/>
      <c r="H1019" s="730"/>
      <c r="I1019" s="730"/>
      <c r="J1019" s="730"/>
      <c r="K1019" s="730"/>
      <c r="L1019" s="730" t="s">
        <v>413</v>
      </c>
      <c r="M1019" s="730"/>
      <c r="N1019" s="730"/>
      <c r="O1019" s="730"/>
      <c r="P1019" s="730"/>
      <c r="Q1019" s="730"/>
      <c r="R1019" s="731" t="s">
        <v>414</v>
      </c>
      <c r="S1019" s="731"/>
      <c r="T1019" s="731"/>
      <c r="U1019" s="731"/>
      <c r="V1019" s="27"/>
    </row>
    <row r="1020" spans="1:32" s="20" customFormat="1" ht="18.75" customHeight="1">
      <c r="A1020" s="732"/>
      <c r="B1020" s="733">
        <f>B1007</f>
        <v>2017</v>
      </c>
      <c r="C1020" s="734"/>
      <c r="D1020" s="734"/>
      <c r="E1020" s="735"/>
      <c r="F1020" s="731" t="s">
        <v>415</v>
      </c>
      <c r="G1020" s="731"/>
      <c r="H1020" s="731"/>
      <c r="I1020" s="731" t="s">
        <v>416</v>
      </c>
      <c r="J1020" s="731"/>
      <c r="K1020" s="731"/>
      <c r="L1020" s="731" t="s">
        <v>415</v>
      </c>
      <c r="M1020" s="731"/>
      <c r="N1020" s="731"/>
      <c r="O1020" s="736" t="s">
        <v>416</v>
      </c>
      <c r="P1020" s="736"/>
      <c r="Q1020" s="736"/>
      <c r="R1020" s="776">
        <f>R1007</f>
        <v>2017</v>
      </c>
      <c r="S1020" s="791"/>
      <c r="T1020" s="791"/>
      <c r="U1020" s="792"/>
    </row>
    <row r="1021" spans="1:32" s="20" customFormat="1" ht="27.75" customHeight="1">
      <c r="A1021" s="771" t="str">
        <f>C1015</f>
        <v>Komputer</v>
      </c>
      <c r="B1021" s="740">
        <f>'[1]4.NERACA'!D87</f>
        <v>521741413</v>
      </c>
      <c r="C1021" s="741"/>
      <c r="D1021" s="741"/>
      <c r="E1021" s="742"/>
      <c r="F1021" s="740">
        <f>'[1]4.NERACA'!E87</f>
        <v>2110000</v>
      </c>
      <c r="G1021" s="741"/>
      <c r="H1021" s="742"/>
      <c r="I1021" s="740">
        <f>'[1]4.NERACA'!F87</f>
        <v>0</v>
      </c>
      <c r="J1021" s="741"/>
      <c r="K1021" s="742"/>
      <c r="L1021" s="740">
        <f>'[1]4.NERACA'!G87</f>
        <v>18526080</v>
      </c>
      <c r="M1021" s="741"/>
      <c r="N1021" s="742"/>
      <c r="O1021" s="740">
        <f>'[1]4.NERACA'!H87</f>
        <v>10984963</v>
      </c>
      <c r="P1021" s="741"/>
      <c r="Q1021" s="742"/>
      <c r="R1021" s="740">
        <f>B1021+F1021-I1021+L1021-O1021</f>
        <v>531392530</v>
      </c>
      <c r="S1021" s="741"/>
      <c r="T1021" s="741"/>
      <c r="U1021" s="742"/>
    </row>
    <row r="1022" spans="1:32" s="20" customFormat="1" ht="18" customHeight="1">
      <c r="A1022" s="782"/>
      <c r="B1022" s="772" t="s">
        <v>436</v>
      </c>
      <c r="C1022" s="772"/>
      <c r="D1022" s="772"/>
      <c r="E1022" s="772"/>
      <c r="F1022" s="772"/>
      <c r="G1022" s="772"/>
      <c r="H1022" s="772"/>
      <c r="I1022" s="772"/>
      <c r="J1022" s="772"/>
      <c r="K1022" s="772"/>
      <c r="L1022" s="772"/>
      <c r="M1022" s="772"/>
      <c r="N1022" s="772"/>
      <c r="O1022" s="772"/>
      <c r="P1022" s="772"/>
      <c r="Q1022" s="772"/>
      <c r="R1022" s="772"/>
      <c r="S1022" s="772"/>
      <c r="T1022" s="772"/>
      <c r="U1022" s="772"/>
      <c r="V1022" s="27"/>
    </row>
    <row r="1023" spans="1:32" s="20" customFormat="1" ht="15.75" customHeight="1">
      <c r="A1023" s="782"/>
      <c r="B1023" s="442"/>
      <c r="C1023" s="428" t="s">
        <v>428</v>
      </c>
      <c r="D1023" s="428"/>
      <c r="E1023" s="428"/>
      <c r="F1023" s="428"/>
      <c r="G1023" s="428"/>
      <c r="H1023" s="428"/>
      <c r="I1023" s="428"/>
      <c r="J1023" s="428"/>
      <c r="K1023" s="428"/>
      <c r="L1023" s="428"/>
      <c r="M1023" s="428"/>
      <c r="N1023" s="428"/>
      <c r="O1023" s="428"/>
      <c r="P1023" s="428"/>
      <c r="Q1023" s="428"/>
      <c r="R1023" s="428"/>
      <c r="S1023" s="428"/>
      <c r="T1023" s="428"/>
      <c r="U1023" s="428"/>
      <c r="V1023" s="27"/>
    </row>
    <row r="1024" spans="1:32" s="20" customFormat="1" ht="51" customHeight="1">
      <c r="A1024" s="782"/>
      <c r="B1024" s="442"/>
      <c r="C1024" s="354" t="str">
        <f>"Mutasi Debet sebesar Rp. "&amp;FIXED(F1021+L1021)&amp;" adalah hasil pengadaan barang tahun "&amp;'[1]2.ISIAN DATA SKPD'!D11&amp;" dari belanja modal berupa hardisk portable , Printer Epson dan PC merk HP."</f>
        <v>Mutasi Debet sebesar Rp. 20,636,080.00 adalah hasil pengadaan barang tahun 2017 dari belanja modal berupa hardisk portable , Printer Epson dan PC merk HP.</v>
      </c>
      <c r="D1024" s="354"/>
      <c r="E1024" s="354"/>
      <c r="F1024" s="354"/>
      <c r="G1024" s="354"/>
      <c r="H1024" s="354"/>
      <c r="I1024" s="354"/>
      <c r="J1024" s="354"/>
      <c r="K1024" s="354"/>
      <c r="L1024" s="354"/>
      <c r="M1024" s="354"/>
      <c r="N1024" s="354"/>
      <c r="O1024" s="354"/>
      <c r="P1024" s="354"/>
      <c r="Q1024" s="354"/>
      <c r="R1024" s="354"/>
      <c r="S1024" s="354"/>
      <c r="T1024" s="354"/>
      <c r="U1024" s="354"/>
      <c r="V1024" s="27"/>
    </row>
    <row r="1025" spans="1:32" s="20" customFormat="1" ht="15.75" customHeight="1">
      <c r="A1025" s="783"/>
      <c r="B1025" s="442"/>
      <c r="C1025" s="428" t="s">
        <v>430</v>
      </c>
      <c r="D1025" s="428"/>
      <c r="E1025" s="428"/>
      <c r="F1025" s="428"/>
      <c r="G1025" s="428"/>
      <c r="H1025" s="428"/>
      <c r="I1025" s="428"/>
      <c r="J1025" s="428"/>
      <c r="K1025" s="428"/>
      <c r="L1025" s="428"/>
      <c r="M1025" s="428"/>
      <c r="N1025" s="428"/>
      <c r="O1025" s="428"/>
      <c r="P1025" s="428"/>
      <c r="Q1025" s="428"/>
      <c r="R1025" s="428"/>
      <c r="S1025" s="428"/>
      <c r="T1025" s="428"/>
      <c r="U1025" s="428"/>
      <c r="V1025" s="27"/>
    </row>
    <row r="1026" spans="1:32" s="20" customFormat="1" ht="36.75" customHeight="1">
      <c r="A1026" s="783"/>
      <c r="B1026" s="442"/>
      <c r="C1026" s="354" t="str">
        <f>"Mutasi Kredit Rp. "&amp;FIXED(I1021+O1021)&amp;" adalah mutasi ke DLH berupa komputer "</f>
        <v xml:space="preserve">Mutasi Kredit Rp. 10,984,963.00 adalah mutasi ke DLH berupa komputer </v>
      </c>
      <c r="D1026" s="354"/>
      <c r="E1026" s="354"/>
      <c r="F1026" s="354"/>
      <c r="G1026" s="354"/>
      <c r="H1026" s="354"/>
      <c r="I1026" s="354"/>
      <c r="J1026" s="354"/>
      <c r="K1026" s="354"/>
      <c r="L1026" s="354"/>
      <c r="M1026" s="354"/>
      <c r="N1026" s="354"/>
      <c r="O1026" s="354"/>
      <c r="P1026" s="354"/>
      <c r="Q1026" s="354"/>
      <c r="R1026" s="354"/>
      <c r="S1026" s="354"/>
      <c r="T1026" s="354"/>
      <c r="U1026" s="354"/>
      <c r="V1026" s="356"/>
    </row>
    <row r="1027" spans="1:32" s="20" customFormat="1" ht="12" customHeight="1">
      <c r="A1027" s="14"/>
      <c r="B1027" s="126"/>
      <c r="C1027" s="126"/>
      <c r="D1027" s="126"/>
      <c r="E1027" s="126"/>
      <c r="F1027" s="126"/>
      <c r="G1027" s="126"/>
      <c r="H1027" s="126"/>
      <c r="I1027" s="126"/>
      <c r="J1027" s="126"/>
      <c r="K1027" s="126"/>
      <c r="L1027" s="126"/>
      <c r="M1027" s="126"/>
      <c r="N1027" s="126"/>
      <c r="O1027" s="126"/>
      <c r="P1027" s="126"/>
      <c r="Q1027" s="442"/>
      <c r="R1027" s="442"/>
      <c r="S1027" s="442"/>
      <c r="T1027" s="442"/>
      <c r="U1027" s="442"/>
      <c r="V1027" s="27"/>
    </row>
    <row r="1028" spans="1:32" s="20" customFormat="1" ht="24" customHeight="1">
      <c r="A1028" s="14"/>
      <c r="B1028" s="774" t="s">
        <v>449</v>
      </c>
      <c r="C1028" s="775" t="str">
        <f>'[1]4.NERACA'!C88</f>
        <v>Meja Dan Kursi Kerja/Rapat Pejabat</v>
      </c>
      <c r="D1028" s="775"/>
      <c r="E1028" s="775"/>
      <c r="F1028" s="775"/>
      <c r="G1028" s="775"/>
      <c r="H1028" s="775"/>
      <c r="I1028" s="775"/>
      <c r="J1028" s="775"/>
      <c r="K1028" s="775"/>
      <c r="L1028" s="775"/>
      <c r="M1028" s="775"/>
      <c r="N1028" s="775"/>
      <c r="O1028" s="775"/>
      <c r="P1028" s="775"/>
      <c r="Q1028" s="775"/>
      <c r="R1028" s="775"/>
      <c r="S1028" s="775"/>
      <c r="T1028" s="775"/>
      <c r="U1028" s="775"/>
      <c r="V1028" s="27"/>
    </row>
    <row r="1029" spans="1:32" s="20" customFormat="1" ht="61.5" customHeight="1">
      <c r="A1029" s="14"/>
      <c r="C1029" s="313" t="str">
        <f>"Nilai aset tetap berupa alat studio  per "&amp;'[1]2.ISIAN DATA SKPD'!D8&amp;" dan  "&amp;'[1]2.ISIAN DATA SKPD'!D12&amp;" adalah sebesar Rp. "&amp;FIXED(R1034)&amp;" dan Rp. "&amp;FIXED(B1034)&amp;" mengalami kenaikan sebesar Rp. "&amp;FIXED(AC1031)&amp;" atau sebesar "&amp;FIXED(Y1031)&amp;"% dari tahun "&amp;'[1]2.ISIAN DATA SKPD'!D12&amp;"."</f>
        <v>Nilai aset tetap berupa alat studio  per 31 Desember 2017 dan  2016 adalah sebesar Rp. 105,632,217.00 dan Rp. 93,771,397.00 mengalami kenaikan sebesar Rp. 11,860,820.00 atau sebesar 12.65% dari tahun 2016.</v>
      </c>
      <c r="D1029" s="313"/>
      <c r="E1029" s="313"/>
      <c r="F1029" s="313"/>
      <c r="G1029" s="313"/>
      <c r="H1029" s="313"/>
      <c r="I1029" s="313"/>
      <c r="J1029" s="313"/>
      <c r="K1029" s="313"/>
      <c r="L1029" s="313"/>
      <c r="M1029" s="313"/>
      <c r="N1029" s="313"/>
      <c r="O1029" s="313"/>
      <c r="P1029" s="313"/>
      <c r="Q1029" s="313"/>
      <c r="R1029" s="313"/>
      <c r="S1029" s="313"/>
      <c r="T1029" s="313"/>
      <c r="U1029" s="313"/>
      <c r="V1029" s="27"/>
    </row>
    <row r="1030" spans="1:32" s="20" customFormat="1" ht="18" customHeight="1">
      <c r="A1030" s="14"/>
      <c r="B1030" s="285"/>
      <c r="C1030" s="313" t="str">
        <f>"Dengan mutasi  selama tahun "&amp;'[1]2.ISIAN DATA SKPD'!D11&amp;" sebagai berikut :"</f>
        <v>Dengan mutasi  selama tahun 2017 sebagai berikut :</v>
      </c>
      <c r="D1030" s="313"/>
      <c r="E1030" s="313"/>
      <c r="F1030" s="313"/>
      <c r="G1030" s="313"/>
      <c r="H1030" s="313"/>
      <c r="I1030" s="313"/>
      <c r="J1030" s="313"/>
      <c r="K1030" s="313"/>
      <c r="L1030" s="313"/>
      <c r="M1030" s="313"/>
      <c r="N1030" s="313"/>
      <c r="O1030" s="313"/>
      <c r="P1030" s="313"/>
      <c r="Q1030" s="313"/>
      <c r="R1030" s="313"/>
      <c r="S1030" s="313"/>
      <c r="T1030" s="313"/>
      <c r="U1030" s="313"/>
      <c r="V1030" s="804"/>
      <c r="W1030" s="805"/>
      <c r="X1030" s="805"/>
      <c r="Y1030" s="208" t="s">
        <v>417</v>
      </c>
      <c r="Z1030" s="805"/>
      <c r="AA1030" s="805"/>
      <c r="AB1030" s="805"/>
      <c r="AC1030" s="712" t="s">
        <v>404</v>
      </c>
      <c r="AD1030" s="713"/>
      <c r="AE1030" s="713"/>
      <c r="AF1030" s="806"/>
    </row>
    <row r="1031" spans="1:32" s="20" customFormat="1" ht="8.25" customHeight="1">
      <c r="A1031" s="14"/>
      <c r="B1031" s="285"/>
      <c r="C1031" s="285"/>
      <c r="D1031" s="285"/>
      <c r="E1031" s="285"/>
      <c r="F1031" s="285"/>
      <c r="G1031" s="285"/>
      <c r="H1031" s="285"/>
      <c r="I1031" s="285"/>
      <c r="J1031" s="285"/>
      <c r="K1031" s="285"/>
      <c r="L1031" s="285"/>
      <c r="M1031" s="285"/>
      <c r="N1031" s="285"/>
      <c r="O1031" s="285"/>
      <c r="P1031" s="285"/>
      <c r="Q1031" s="285"/>
      <c r="R1031" s="285"/>
      <c r="S1031" s="285"/>
      <c r="T1031" s="285"/>
      <c r="U1031" s="285"/>
      <c r="V1031" s="808"/>
      <c r="W1031" s="805"/>
      <c r="X1031" s="805"/>
      <c r="Y1031" s="208">
        <f>(R1034-B1034)/B1034*100</f>
        <v>12.648654471896158</v>
      </c>
      <c r="Z1031" s="805"/>
      <c r="AA1031" s="805"/>
      <c r="AB1031" s="805"/>
      <c r="AC1031" s="451">
        <f>R1034-B1034</f>
        <v>11860820</v>
      </c>
      <c r="AD1031" s="452"/>
      <c r="AE1031" s="452"/>
      <c r="AF1031" s="453"/>
    </row>
    <row r="1032" spans="1:32" s="20" customFormat="1" ht="23.25" customHeight="1">
      <c r="A1032" s="726" t="s">
        <v>84</v>
      </c>
      <c r="B1032" s="727" t="s">
        <v>411</v>
      </c>
      <c r="C1032" s="728"/>
      <c r="D1032" s="728"/>
      <c r="E1032" s="729"/>
      <c r="F1032" s="730" t="s">
        <v>412</v>
      </c>
      <c r="G1032" s="730"/>
      <c r="H1032" s="730"/>
      <c r="I1032" s="730"/>
      <c r="J1032" s="730"/>
      <c r="K1032" s="730"/>
      <c r="L1032" s="730" t="s">
        <v>413</v>
      </c>
      <c r="M1032" s="730"/>
      <c r="N1032" s="730"/>
      <c r="O1032" s="730"/>
      <c r="P1032" s="730"/>
      <c r="Q1032" s="730"/>
      <c r="R1032" s="731" t="s">
        <v>414</v>
      </c>
      <c r="S1032" s="731"/>
      <c r="T1032" s="731"/>
      <c r="U1032" s="731"/>
      <c r="V1032" s="27"/>
    </row>
    <row r="1033" spans="1:32" s="20" customFormat="1" ht="22.5" customHeight="1">
      <c r="A1033" s="732"/>
      <c r="B1033" s="733">
        <f>B1020</f>
        <v>2017</v>
      </c>
      <c r="C1033" s="734"/>
      <c r="D1033" s="734"/>
      <c r="E1033" s="735"/>
      <c r="F1033" s="731" t="s">
        <v>415</v>
      </c>
      <c r="G1033" s="731"/>
      <c r="H1033" s="731"/>
      <c r="I1033" s="731" t="s">
        <v>416</v>
      </c>
      <c r="J1033" s="731"/>
      <c r="K1033" s="731"/>
      <c r="L1033" s="731" t="s">
        <v>415</v>
      </c>
      <c r="M1033" s="731"/>
      <c r="N1033" s="731"/>
      <c r="O1033" s="736" t="s">
        <v>416</v>
      </c>
      <c r="P1033" s="736"/>
      <c r="Q1033" s="736"/>
      <c r="R1033" s="776">
        <f>R1020</f>
        <v>2017</v>
      </c>
      <c r="S1033" s="791"/>
      <c r="T1033" s="791"/>
      <c r="U1033" s="792"/>
    </row>
    <row r="1034" spans="1:32" s="20" customFormat="1" ht="39.75" customHeight="1">
      <c r="A1034" s="771" t="str">
        <f>C1028</f>
        <v>Meja Dan Kursi Kerja/Rapat Pejabat</v>
      </c>
      <c r="B1034" s="740">
        <f>'[1]4.NERACA'!D88</f>
        <v>93771397</v>
      </c>
      <c r="C1034" s="741"/>
      <c r="D1034" s="741"/>
      <c r="E1034" s="742"/>
      <c r="F1034" s="740">
        <f>'[1]4.NERACA'!E88</f>
        <v>11860820</v>
      </c>
      <c r="G1034" s="741"/>
      <c r="H1034" s="742"/>
      <c r="I1034" s="740">
        <f>'[1]4.NERACA'!F88</f>
        <v>0</v>
      </c>
      <c r="J1034" s="741"/>
      <c r="K1034" s="742"/>
      <c r="L1034" s="740">
        <f>'[1]4.NERACA'!G88</f>
        <v>0</v>
      </c>
      <c r="M1034" s="741"/>
      <c r="N1034" s="742"/>
      <c r="O1034" s="740">
        <f>'[1]4.NERACA'!H88</f>
        <v>0</v>
      </c>
      <c r="P1034" s="741"/>
      <c r="Q1034" s="742"/>
      <c r="R1034" s="740">
        <f>B1034+F1034-I1034+L1034-O1034</f>
        <v>105632217</v>
      </c>
      <c r="S1034" s="741"/>
      <c r="T1034" s="741"/>
      <c r="U1034" s="742"/>
    </row>
    <row r="1035" spans="1:32" s="20" customFormat="1" ht="17.25" customHeight="1">
      <c r="A1035" s="782"/>
      <c r="B1035" s="772" t="s">
        <v>436</v>
      </c>
      <c r="C1035" s="772"/>
      <c r="D1035" s="772"/>
      <c r="E1035" s="772"/>
      <c r="F1035" s="772"/>
      <c r="G1035" s="772"/>
      <c r="H1035" s="772"/>
      <c r="I1035" s="772"/>
      <c r="J1035" s="772"/>
      <c r="K1035" s="772"/>
      <c r="L1035" s="772"/>
      <c r="M1035" s="772"/>
      <c r="N1035" s="772"/>
      <c r="O1035" s="772"/>
      <c r="P1035" s="772"/>
      <c r="Q1035" s="772"/>
      <c r="R1035" s="772"/>
      <c r="S1035" s="772"/>
      <c r="T1035" s="772"/>
      <c r="U1035" s="772"/>
      <c r="V1035" s="27"/>
    </row>
    <row r="1036" spans="1:32" s="20" customFormat="1" ht="15.75" customHeight="1">
      <c r="A1036" s="782"/>
      <c r="B1036" s="442"/>
      <c r="C1036" s="428" t="s">
        <v>428</v>
      </c>
      <c r="D1036" s="428"/>
      <c r="E1036" s="428"/>
      <c r="F1036" s="428"/>
      <c r="G1036" s="428"/>
      <c r="H1036" s="428"/>
      <c r="I1036" s="428"/>
      <c r="J1036" s="428"/>
      <c r="K1036" s="428"/>
      <c r="L1036" s="428"/>
      <c r="M1036" s="428"/>
      <c r="N1036" s="428"/>
      <c r="O1036" s="428"/>
      <c r="P1036" s="428"/>
      <c r="Q1036" s="428"/>
      <c r="R1036" s="428"/>
      <c r="S1036" s="428"/>
      <c r="T1036" s="428"/>
      <c r="U1036" s="428"/>
      <c r="V1036" s="27"/>
    </row>
    <row r="1037" spans="1:32" s="20" customFormat="1" ht="45" customHeight="1">
      <c r="A1037" s="782"/>
      <c r="B1037" s="442"/>
      <c r="C1037" s="354" t="str">
        <f>"Mutasi Debet sebesar Rp. "&amp;FIXED(F1034+L1034)&amp;" adalah hasil reklas pengadaan barang tahun "&amp;'[1]2.ISIAN DATA SKPD'!D11&amp;" dari belanja modal berupa .Alat rumah tangga."</f>
        <v>Mutasi Debet sebesar Rp. 11,860,820.00 adalah hasil reklas pengadaan barang tahun 2017 dari belanja modal berupa .Alat rumah tangga.</v>
      </c>
      <c r="D1037" s="354"/>
      <c r="E1037" s="354"/>
      <c r="F1037" s="354"/>
      <c r="G1037" s="354"/>
      <c r="H1037" s="354"/>
      <c r="I1037" s="354"/>
      <c r="J1037" s="354"/>
      <c r="K1037" s="354"/>
      <c r="L1037" s="354"/>
      <c r="M1037" s="354"/>
      <c r="N1037" s="354"/>
      <c r="O1037" s="354"/>
      <c r="P1037" s="354"/>
      <c r="Q1037" s="354"/>
      <c r="R1037" s="354"/>
      <c r="S1037" s="354"/>
      <c r="T1037" s="354"/>
      <c r="U1037" s="354"/>
      <c r="V1037" s="27"/>
    </row>
    <row r="1038" spans="1:32" s="20" customFormat="1" ht="26.25" customHeight="1">
      <c r="A1038" s="782"/>
      <c r="B1038" s="442"/>
      <c r="C1038" s="428" t="s">
        <v>430</v>
      </c>
      <c r="D1038" s="428"/>
      <c r="E1038" s="428"/>
      <c r="F1038" s="428"/>
      <c r="G1038" s="428"/>
      <c r="H1038" s="428"/>
      <c r="I1038" s="428"/>
      <c r="J1038" s="428"/>
      <c r="K1038" s="428"/>
      <c r="L1038" s="428"/>
      <c r="M1038" s="428"/>
      <c r="N1038" s="428"/>
      <c r="O1038" s="428"/>
      <c r="P1038" s="428"/>
      <c r="Q1038" s="428"/>
      <c r="R1038" s="428"/>
      <c r="S1038" s="428"/>
      <c r="T1038" s="428"/>
      <c r="U1038" s="428"/>
      <c r="V1038" s="27"/>
    </row>
    <row r="1039" spans="1:32" s="20" customFormat="1" ht="15" customHeight="1">
      <c r="A1039" s="782"/>
      <c r="B1039" s="442"/>
      <c r="C1039" s="354" t="str">
        <f>"Mutasi Kredit Rp. "&amp;FIXED(I1034+O1034)&amp;" "</f>
        <v xml:space="preserve">Mutasi Kredit Rp. 0.00 </v>
      </c>
      <c r="D1039" s="354"/>
      <c r="E1039" s="354"/>
      <c r="F1039" s="354"/>
      <c r="G1039" s="354"/>
      <c r="H1039" s="354"/>
      <c r="I1039" s="354"/>
      <c r="J1039" s="354"/>
      <c r="K1039" s="354"/>
      <c r="L1039" s="354"/>
      <c r="M1039" s="354"/>
      <c r="N1039" s="354"/>
      <c r="O1039" s="354"/>
      <c r="P1039" s="354"/>
      <c r="Q1039" s="354"/>
      <c r="R1039" s="354"/>
      <c r="S1039" s="354"/>
      <c r="T1039" s="354"/>
      <c r="U1039" s="354"/>
      <c r="V1039" s="27"/>
    </row>
    <row r="1040" spans="1:32" s="20" customFormat="1" ht="11.25" customHeight="1">
      <c r="A1040" s="14"/>
      <c r="B1040" s="126"/>
      <c r="C1040" s="126"/>
      <c r="D1040" s="126"/>
      <c r="E1040" s="126"/>
      <c r="F1040" s="126"/>
      <c r="G1040" s="126"/>
      <c r="H1040" s="126"/>
      <c r="I1040" s="126"/>
      <c r="J1040" s="126"/>
      <c r="K1040" s="126"/>
      <c r="L1040" s="126"/>
      <c r="M1040" s="126"/>
      <c r="N1040" s="126"/>
      <c r="O1040" s="126"/>
      <c r="P1040" s="126"/>
      <c r="Q1040" s="442"/>
      <c r="R1040" s="442"/>
      <c r="S1040" s="442"/>
      <c r="T1040" s="442"/>
      <c r="U1040" s="442"/>
      <c r="V1040" s="27"/>
    </row>
    <row r="1041" spans="1:32" s="20" customFormat="1" ht="19.5" customHeight="1">
      <c r="A1041" s="14"/>
      <c r="B1041" s="774" t="s">
        <v>450</v>
      </c>
      <c r="C1041" s="775" t="str">
        <f>'[1]4.NERACA'!C89</f>
        <v>Alat Studio</v>
      </c>
      <c r="D1041" s="775"/>
      <c r="E1041" s="775"/>
      <c r="F1041" s="775"/>
      <c r="G1041" s="775"/>
      <c r="H1041" s="775"/>
      <c r="I1041" s="775"/>
      <c r="J1041" s="775"/>
      <c r="K1041" s="775"/>
      <c r="L1041" s="775"/>
      <c r="M1041" s="775"/>
      <c r="N1041" s="775"/>
      <c r="O1041" s="775"/>
      <c r="P1041" s="775"/>
      <c r="Q1041" s="775"/>
      <c r="R1041" s="775"/>
      <c r="S1041" s="775"/>
      <c r="T1041" s="775"/>
      <c r="U1041" s="775"/>
      <c r="V1041" s="27"/>
    </row>
    <row r="1042" spans="1:32" s="20" customFormat="1" ht="61.5" customHeight="1">
      <c r="A1042" s="14"/>
      <c r="C1042" s="313" t="str">
        <f>"Nilai aset tetap berupa alat komunikasi  per "&amp;'[1]2.ISIAN DATA SKPD'!D8&amp;" dan  "&amp;'[1]2.ISIAN DATA SKPD'!D12&amp;" adalah sebesar Rp. "&amp;FIXED(R1047)&amp;" dan Rp. "&amp;FIXED(B1047)&amp;" mengalami kenaikan sebesar Rp. "&amp;FIXED(AC1047)&amp;" atau sebesar "&amp;FIXED(Y1047)&amp;"% dari tahun "&amp;'[1]2.ISIAN DATA SKPD'!D12&amp;"."</f>
        <v>Nilai aset tetap berupa alat komunikasi  per 31 Desember 2017 dan  2016 adalah sebesar Rp. 152,913,232.00 dan Rp. 147,963,232.00 mengalami kenaikan sebesar Rp. 4,950,000.00 atau sebesar 3.35% dari tahun 2016.</v>
      </c>
      <c r="D1042" s="313"/>
      <c r="E1042" s="313"/>
      <c r="F1042" s="313"/>
      <c r="G1042" s="313"/>
      <c r="H1042" s="313"/>
      <c r="I1042" s="313"/>
      <c r="J1042" s="313"/>
      <c r="K1042" s="313"/>
      <c r="L1042" s="313"/>
      <c r="M1042" s="313"/>
      <c r="N1042" s="313"/>
      <c r="O1042" s="313"/>
      <c r="P1042" s="313"/>
      <c r="Q1042" s="313"/>
      <c r="R1042" s="313"/>
      <c r="S1042" s="313"/>
      <c r="T1042" s="313"/>
      <c r="U1042" s="313"/>
      <c r="V1042" s="27"/>
    </row>
    <row r="1043" spans="1:32" s="20" customFormat="1" ht="14.25" customHeight="1">
      <c r="A1043" s="14"/>
      <c r="B1043" s="285"/>
      <c r="C1043" s="313" t="str">
        <f>"Dengan mutasi  selama tahun "&amp;'[1]2.ISIAN DATA SKPD'!D11&amp;" sebagai berikut :"</f>
        <v>Dengan mutasi  selama tahun 2017 sebagai berikut :</v>
      </c>
      <c r="D1043" s="313"/>
      <c r="E1043" s="313"/>
      <c r="F1043" s="313"/>
      <c r="G1043" s="313"/>
      <c r="H1043" s="313"/>
      <c r="I1043" s="313"/>
      <c r="J1043" s="313"/>
      <c r="K1043" s="313"/>
      <c r="L1043" s="313"/>
      <c r="M1043" s="313"/>
      <c r="N1043" s="313"/>
      <c r="O1043" s="313"/>
      <c r="P1043" s="313"/>
      <c r="Q1043" s="313"/>
      <c r="R1043" s="313"/>
      <c r="S1043" s="313"/>
      <c r="T1043" s="313"/>
      <c r="U1043" s="313"/>
      <c r="V1043" s="27"/>
    </row>
    <row r="1044" spans="1:32" s="20" customFormat="1" ht="15" customHeight="1">
      <c r="A1044" s="14"/>
      <c r="B1044" s="285"/>
      <c r="C1044" s="285"/>
      <c r="D1044" s="285"/>
      <c r="E1044" s="285"/>
      <c r="F1044" s="285"/>
      <c r="G1044" s="285"/>
      <c r="H1044" s="285"/>
      <c r="I1044" s="285"/>
      <c r="J1044" s="285"/>
      <c r="K1044" s="285"/>
      <c r="L1044" s="285"/>
      <c r="M1044" s="285"/>
      <c r="N1044" s="285"/>
      <c r="O1044" s="285"/>
      <c r="P1044" s="285"/>
      <c r="Q1044" s="285"/>
      <c r="R1044" s="285"/>
      <c r="S1044" s="285"/>
      <c r="T1044" s="285"/>
      <c r="U1044" s="285"/>
      <c r="V1044" s="27"/>
    </row>
    <row r="1045" spans="1:32" s="20" customFormat="1" ht="17.25" customHeight="1">
      <c r="A1045" s="726" t="s">
        <v>84</v>
      </c>
      <c r="B1045" s="727" t="s">
        <v>411</v>
      </c>
      <c r="C1045" s="728"/>
      <c r="D1045" s="728"/>
      <c r="E1045" s="729"/>
      <c r="F1045" s="730" t="s">
        <v>412</v>
      </c>
      <c r="G1045" s="730"/>
      <c r="H1045" s="730"/>
      <c r="I1045" s="730"/>
      <c r="J1045" s="730"/>
      <c r="K1045" s="730"/>
      <c r="L1045" s="730" t="s">
        <v>413</v>
      </c>
      <c r="M1045" s="730"/>
      <c r="N1045" s="730"/>
      <c r="O1045" s="730"/>
      <c r="P1045" s="730"/>
      <c r="Q1045" s="730"/>
      <c r="R1045" s="731" t="s">
        <v>414</v>
      </c>
      <c r="S1045" s="731"/>
      <c r="T1045" s="731"/>
      <c r="U1045" s="731"/>
      <c r="V1045" s="27"/>
    </row>
    <row r="1046" spans="1:32" s="20" customFormat="1" ht="20.25" customHeight="1">
      <c r="A1046" s="732"/>
      <c r="B1046" s="733">
        <f>B1033</f>
        <v>2017</v>
      </c>
      <c r="C1046" s="734"/>
      <c r="D1046" s="734"/>
      <c r="E1046" s="735"/>
      <c r="F1046" s="731" t="s">
        <v>415</v>
      </c>
      <c r="G1046" s="731"/>
      <c r="H1046" s="731"/>
      <c r="I1046" s="731" t="s">
        <v>416</v>
      </c>
      <c r="J1046" s="731"/>
      <c r="K1046" s="731"/>
      <c r="L1046" s="731" t="s">
        <v>415</v>
      </c>
      <c r="M1046" s="731"/>
      <c r="N1046" s="731"/>
      <c r="O1046" s="736" t="s">
        <v>416</v>
      </c>
      <c r="P1046" s="736"/>
      <c r="Q1046" s="736"/>
      <c r="R1046" s="813">
        <f>R1033</f>
        <v>2017</v>
      </c>
      <c r="S1046" s="736"/>
      <c r="T1046" s="736"/>
      <c r="U1046" s="736"/>
      <c r="V1046" s="804"/>
      <c r="W1046" s="805"/>
      <c r="X1046" s="805"/>
      <c r="Y1046" s="208" t="s">
        <v>417</v>
      </c>
      <c r="Z1046" s="805"/>
      <c r="AA1046" s="805"/>
      <c r="AB1046" s="805"/>
      <c r="AC1046" s="712" t="s">
        <v>404</v>
      </c>
      <c r="AD1046" s="713"/>
      <c r="AE1046" s="713"/>
      <c r="AF1046" s="806"/>
    </row>
    <row r="1047" spans="1:32" s="20" customFormat="1" ht="19.5" customHeight="1">
      <c r="A1047" s="771" t="str">
        <f>C1041</f>
        <v>Alat Studio</v>
      </c>
      <c r="B1047" s="740">
        <f>'[1]4.NERACA'!D89</f>
        <v>147963232</v>
      </c>
      <c r="C1047" s="741"/>
      <c r="D1047" s="741"/>
      <c r="E1047" s="742"/>
      <c r="F1047" s="740">
        <f>'[1]4.NERACA'!E89</f>
        <v>0</v>
      </c>
      <c r="G1047" s="741"/>
      <c r="H1047" s="742"/>
      <c r="I1047" s="740">
        <f>'[1]4.NERACA'!F89</f>
        <v>33835000</v>
      </c>
      <c r="J1047" s="741"/>
      <c r="K1047" s="742"/>
      <c r="L1047" s="740">
        <f>'[1]4.NERACA'!G89</f>
        <v>38785000</v>
      </c>
      <c r="M1047" s="741"/>
      <c r="N1047" s="742"/>
      <c r="O1047" s="740">
        <f>'[1]4.NERACA'!H89</f>
        <v>0</v>
      </c>
      <c r="P1047" s="741"/>
      <c r="Q1047" s="742"/>
      <c r="R1047" s="740">
        <f>B1047+F1047-I1047+L1047-O1047</f>
        <v>152913232</v>
      </c>
      <c r="S1047" s="741"/>
      <c r="T1047" s="741"/>
      <c r="U1047" s="742"/>
      <c r="V1047" s="808"/>
      <c r="W1047" s="805"/>
      <c r="X1047" s="805"/>
      <c r="Y1047" s="208">
        <f>(R1047-B1047)/B1047*100</f>
        <v>3.3454257068404671</v>
      </c>
      <c r="Z1047" s="805"/>
      <c r="AA1047" s="805"/>
      <c r="AB1047" s="805"/>
      <c r="AC1047" s="451">
        <f>R1047-B1047</f>
        <v>4950000</v>
      </c>
      <c r="AD1047" s="452"/>
      <c r="AE1047" s="452"/>
      <c r="AF1047" s="453"/>
    </row>
    <row r="1048" spans="1:32" s="20" customFormat="1" ht="19.5" customHeight="1">
      <c r="A1048" s="782"/>
      <c r="B1048" s="772" t="s">
        <v>436</v>
      </c>
      <c r="C1048" s="772"/>
      <c r="D1048" s="772"/>
      <c r="E1048" s="772"/>
      <c r="F1048" s="772"/>
      <c r="G1048" s="772"/>
      <c r="H1048" s="772"/>
      <c r="I1048" s="772"/>
      <c r="J1048" s="772"/>
      <c r="K1048" s="772"/>
      <c r="L1048" s="772"/>
      <c r="M1048" s="772"/>
      <c r="N1048" s="772"/>
      <c r="O1048" s="772"/>
      <c r="P1048" s="772"/>
      <c r="Q1048" s="772"/>
      <c r="R1048" s="772"/>
      <c r="S1048" s="772"/>
      <c r="T1048" s="772"/>
      <c r="U1048" s="772"/>
      <c r="V1048" s="27"/>
    </row>
    <row r="1049" spans="1:32" s="20" customFormat="1" ht="15.75" customHeight="1">
      <c r="A1049" s="782"/>
      <c r="B1049" s="442"/>
      <c r="C1049" s="428" t="s">
        <v>428</v>
      </c>
      <c r="D1049" s="428"/>
      <c r="E1049" s="428"/>
      <c r="F1049" s="428"/>
      <c r="G1049" s="428"/>
      <c r="H1049" s="428"/>
      <c r="I1049" s="428"/>
      <c r="J1049" s="428"/>
      <c r="K1049" s="428"/>
      <c r="L1049" s="428"/>
      <c r="M1049" s="428"/>
      <c r="N1049" s="428"/>
      <c r="O1049" s="428"/>
      <c r="P1049" s="428"/>
      <c r="Q1049" s="428"/>
      <c r="R1049" s="428"/>
      <c r="S1049" s="428"/>
      <c r="T1049" s="428"/>
      <c r="U1049" s="428"/>
      <c r="V1049" s="27"/>
    </row>
    <row r="1050" spans="1:32" s="20" customFormat="1" ht="50.25" customHeight="1">
      <c r="A1050" s="783"/>
      <c r="B1050" s="442"/>
      <c r="C1050" s="354" t="str">
        <f>"Mutasi Debet sebesar Rp. "&amp;FIXED(F1047+L1047)&amp;" adalah hasil pengadaan barang tahun "&amp;'[1]2.ISIAN DATA SKPD'!D11&amp;" dari belanja modal berupa TV. Monitor LED 40,TV Monitor LED 32,Camera video,proyektor  dan CCTV."</f>
        <v>Mutasi Debet sebesar Rp. 38,785,000.00 adalah hasil pengadaan barang tahun 2017 dari belanja modal berupa TV. Monitor LED 40,TV Monitor LED 32,Camera video,proyektor  dan CCTV.</v>
      </c>
      <c r="D1050" s="354"/>
      <c r="E1050" s="354"/>
      <c r="F1050" s="354"/>
      <c r="G1050" s="354"/>
      <c r="H1050" s="354"/>
      <c r="I1050" s="354"/>
      <c r="J1050" s="354"/>
      <c r="K1050" s="354"/>
      <c r="L1050" s="354"/>
      <c r="M1050" s="354"/>
      <c r="N1050" s="354"/>
      <c r="O1050" s="354"/>
      <c r="P1050" s="354"/>
      <c r="Q1050" s="354"/>
      <c r="R1050" s="354"/>
      <c r="S1050" s="354"/>
      <c r="T1050" s="354"/>
      <c r="U1050" s="354"/>
      <c r="V1050" s="27"/>
    </row>
    <row r="1051" spans="1:32" s="20" customFormat="1" ht="18" customHeight="1">
      <c r="A1051" s="783"/>
      <c r="B1051" s="442"/>
      <c r="C1051" s="428" t="s">
        <v>430</v>
      </c>
      <c r="D1051" s="428"/>
      <c r="E1051" s="428"/>
      <c r="F1051" s="428"/>
      <c r="G1051" s="428"/>
      <c r="H1051" s="428"/>
      <c r="I1051" s="428"/>
      <c r="J1051" s="428"/>
      <c r="K1051" s="428"/>
      <c r="L1051" s="428"/>
      <c r="M1051" s="428"/>
      <c r="N1051" s="428"/>
      <c r="O1051" s="428"/>
      <c r="P1051" s="428"/>
      <c r="Q1051" s="428"/>
      <c r="R1051" s="428"/>
      <c r="S1051" s="428"/>
      <c r="T1051" s="428"/>
      <c r="U1051" s="428"/>
      <c r="V1051" s="27"/>
    </row>
    <row r="1052" spans="1:32" s="20" customFormat="1" ht="36.75" customHeight="1">
      <c r="A1052" s="783"/>
      <c r="B1052" s="442"/>
      <c r="C1052" s="354" t="str">
        <f>"Mutasi Kredit Rp. "&amp;FIXED(I1047+O1047)&amp;" adalah reklas  berupa TV monitor LED 40, TV monitor LED 32,Camera video dan CCTV "</f>
        <v xml:space="preserve">Mutasi Kredit Rp. 33,835,000.00 adalah reklas  berupa TV monitor LED 40, TV monitor LED 32,Camera video dan CCTV </v>
      </c>
      <c r="D1052" s="354"/>
      <c r="E1052" s="354"/>
      <c r="F1052" s="354"/>
      <c r="G1052" s="354"/>
      <c r="H1052" s="354"/>
      <c r="I1052" s="354"/>
      <c r="J1052" s="354"/>
      <c r="K1052" s="354"/>
      <c r="L1052" s="354"/>
      <c r="M1052" s="354"/>
      <c r="N1052" s="354"/>
      <c r="O1052" s="354"/>
      <c r="P1052" s="354"/>
      <c r="Q1052" s="354"/>
      <c r="R1052" s="354"/>
      <c r="S1052" s="354"/>
      <c r="T1052" s="354"/>
      <c r="U1052" s="354"/>
      <c r="V1052" s="27"/>
    </row>
    <row r="1053" spans="1:32" s="20" customFormat="1" ht="14.25" customHeight="1">
      <c r="A1053" s="783"/>
      <c r="B1053" s="567"/>
      <c r="C1053" s="567"/>
      <c r="D1053" s="567"/>
      <c r="E1053" s="567"/>
      <c r="F1053" s="567"/>
      <c r="G1053" s="567"/>
      <c r="H1053" s="567"/>
      <c r="I1053" s="567"/>
      <c r="J1053" s="567"/>
      <c r="K1053" s="567"/>
      <c r="L1053" s="567"/>
      <c r="M1053" s="567"/>
      <c r="N1053" s="814"/>
      <c r="O1053" s="814"/>
      <c r="P1053" s="814"/>
      <c r="Q1053" s="814"/>
      <c r="R1053" s="814"/>
      <c r="S1053" s="814"/>
      <c r="T1053" s="814"/>
      <c r="U1053" s="814"/>
      <c r="V1053" s="27"/>
    </row>
    <row r="1054" spans="1:32" s="20" customFormat="1" ht="19.5" customHeight="1">
      <c r="A1054" s="783"/>
      <c r="B1054" s="774" t="s">
        <v>451</v>
      </c>
      <c r="C1054" s="775" t="str">
        <f>'[1]4.NERACA'!C90</f>
        <v>Alat Komunikasi</v>
      </c>
      <c r="D1054" s="775"/>
      <c r="E1054" s="775"/>
      <c r="F1054" s="775"/>
      <c r="G1054" s="775"/>
      <c r="H1054" s="775"/>
      <c r="I1054" s="775"/>
      <c r="J1054" s="775"/>
      <c r="K1054" s="775"/>
      <c r="L1054" s="775"/>
      <c r="M1054" s="775"/>
      <c r="N1054" s="775"/>
      <c r="O1054" s="775"/>
      <c r="P1054" s="775"/>
      <c r="Q1054" s="775"/>
      <c r="R1054" s="775"/>
      <c r="S1054" s="775"/>
      <c r="T1054" s="775"/>
      <c r="U1054" s="775"/>
      <c r="V1054" s="27"/>
    </row>
    <row r="1055" spans="1:32" s="20" customFormat="1" ht="64.5" customHeight="1">
      <c r="A1055" s="14"/>
      <c r="C1055" s="313" t="str">
        <f>"Nilai aset tetap berupa alat pemancar  per "&amp;'[1]2.ISIAN DATA SKPD'!D8&amp;" dan  "&amp;'[1]2.ISIAN DATA SKPD'!D12&amp;" adalah sebesar Rp. "&amp;FIXED(R1060)&amp;" dan Rp. "&amp;FIXED(B1060)&amp;" mengalami kenaikan/penurunan sebesar Rp. "&amp;FIXED(AC1060)&amp;" atau sebesar "&amp;FIXED(Y1060)&amp;"% dari tahun "&amp;'[1]2.ISIAN DATA SKPD'!D12&amp;"."</f>
        <v>Nilai aset tetap berupa alat pemancar  per 31 Desember 2017 dan  2016 adalah sebesar Rp. 750,000.00 dan Rp. 750,000.00 mengalami kenaikan/penurunan sebesar Rp. 0.00 atau sebesar 0.00% dari tahun 2016.</v>
      </c>
      <c r="D1055" s="313"/>
      <c r="E1055" s="313"/>
      <c r="F1055" s="313"/>
      <c r="G1055" s="313"/>
      <c r="H1055" s="313"/>
      <c r="I1055" s="313"/>
      <c r="J1055" s="313"/>
      <c r="K1055" s="313"/>
      <c r="L1055" s="313"/>
      <c r="M1055" s="313"/>
      <c r="N1055" s="313"/>
      <c r="O1055" s="313"/>
      <c r="P1055" s="313"/>
      <c r="Q1055" s="313"/>
      <c r="R1055" s="313"/>
      <c r="S1055" s="313"/>
      <c r="T1055" s="313"/>
      <c r="U1055" s="313"/>
      <c r="V1055" s="27"/>
    </row>
    <row r="1056" spans="1:32" s="20" customFormat="1" ht="20.25" customHeight="1">
      <c r="A1056" s="14"/>
      <c r="B1056" s="567"/>
      <c r="C1056" s="313" t="str">
        <f>"Dengan mutasi  selama tahun "&amp;'[1]2.ISIAN DATA SKPD'!D11&amp;" sebagai berikut :"</f>
        <v>Dengan mutasi  selama tahun 2017 sebagai berikut :</v>
      </c>
      <c r="D1056" s="313"/>
      <c r="E1056" s="313"/>
      <c r="F1056" s="313"/>
      <c r="G1056" s="313"/>
      <c r="H1056" s="313"/>
      <c r="I1056" s="313"/>
      <c r="J1056" s="313"/>
      <c r="K1056" s="313"/>
      <c r="L1056" s="313"/>
      <c r="M1056" s="313"/>
      <c r="N1056" s="313"/>
      <c r="O1056" s="313"/>
      <c r="P1056" s="313"/>
      <c r="Q1056" s="313"/>
      <c r="R1056" s="313"/>
      <c r="S1056" s="313"/>
      <c r="T1056" s="313"/>
      <c r="U1056" s="313"/>
      <c r="V1056" s="27"/>
    </row>
    <row r="1057" spans="1:32" s="20" customFormat="1" ht="15" customHeight="1">
      <c r="A1057" s="14"/>
      <c r="B1057" s="567"/>
      <c r="C1057" s="285"/>
      <c r="D1057" s="285"/>
      <c r="E1057" s="285"/>
      <c r="F1057" s="285"/>
      <c r="G1057" s="285"/>
      <c r="H1057" s="285"/>
      <c r="I1057" s="285"/>
      <c r="J1057" s="285"/>
      <c r="K1057" s="285"/>
      <c r="L1057" s="285"/>
      <c r="M1057" s="285"/>
      <c r="N1057" s="285"/>
      <c r="O1057" s="285"/>
      <c r="P1057" s="285"/>
      <c r="Q1057" s="285"/>
      <c r="R1057" s="285"/>
      <c r="S1057" s="285"/>
      <c r="T1057" s="285"/>
      <c r="U1057" s="285"/>
      <c r="V1057" s="27"/>
    </row>
    <row r="1058" spans="1:32" s="20" customFormat="1" ht="19.5" customHeight="1">
      <c r="A1058" s="726" t="s">
        <v>84</v>
      </c>
      <c r="B1058" s="727" t="s">
        <v>411</v>
      </c>
      <c r="C1058" s="728"/>
      <c r="D1058" s="728"/>
      <c r="E1058" s="729"/>
      <c r="F1058" s="730" t="s">
        <v>412</v>
      </c>
      <c r="G1058" s="730"/>
      <c r="H1058" s="730"/>
      <c r="I1058" s="730"/>
      <c r="J1058" s="730"/>
      <c r="K1058" s="730"/>
      <c r="L1058" s="730" t="s">
        <v>413</v>
      </c>
      <c r="M1058" s="730"/>
      <c r="N1058" s="730"/>
      <c r="O1058" s="730"/>
      <c r="P1058" s="730"/>
      <c r="Q1058" s="730"/>
      <c r="R1058" s="731" t="s">
        <v>414</v>
      </c>
      <c r="S1058" s="731"/>
      <c r="T1058" s="731"/>
      <c r="U1058" s="731"/>
      <c r="V1058" s="27"/>
    </row>
    <row r="1059" spans="1:32" s="20" customFormat="1" ht="24" customHeight="1">
      <c r="A1059" s="732"/>
      <c r="B1059" s="733">
        <f>B1046</f>
        <v>2017</v>
      </c>
      <c r="C1059" s="734"/>
      <c r="D1059" s="734"/>
      <c r="E1059" s="735"/>
      <c r="F1059" s="731" t="s">
        <v>415</v>
      </c>
      <c r="G1059" s="731"/>
      <c r="H1059" s="731"/>
      <c r="I1059" s="731" t="s">
        <v>416</v>
      </c>
      <c r="J1059" s="731"/>
      <c r="K1059" s="731"/>
      <c r="L1059" s="731" t="s">
        <v>415</v>
      </c>
      <c r="M1059" s="731"/>
      <c r="N1059" s="731"/>
      <c r="O1059" s="736" t="s">
        <v>416</v>
      </c>
      <c r="P1059" s="736"/>
      <c r="Q1059" s="736"/>
      <c r="R1059" s="776">
        <f>R1046</f>
        <v>2017</v>
      </c>
      <c r="S1059" s="791"/>
      <c r="T1059" s="791"/>
      <c r="U1059" s="792"/>
      <c r="V1059" s="804"/>
      <c r="W1059" s="805"/>
      <c r="X1059" s="805"/>
      <c r="Y1059" s="208" t="s">
        <v>417</v>
      </c>
      <c r="Z1059" s="805"/>
      <c r="AA1059" s="805"/>
      <c r="AB1059" s="805"/>
      <c r="AC1059" s="712" t="s">
        <v>404</v>
      </c>
      <c r="AD1059" s="713"/>
      <c r="AE1059" s="713"/>
      <c r="AF1059" s="806"/>
    </row>
    <row r="1060" spans="1:32" s="20" customFormat="1" ht="37.5" customHeight="1">
      <c r="A1060" s="771" t="str">
        <f>C1054</f>
        <v>Alat Komunikasi</v>
      </c>
      <c r="B1060" s="686">
        <f>'[1]4.NERACA'!D90</f>
        <v>750000</v>
      </c>
      <c r="C1060" s="687"/>
      <c r="D1060" s="687"/>
      <c r="E1060" s="688"/>
      <c r="F1060" s="686">
        <f>'[1]4.NERACA'!E91</f>
        <v>0</v>
      </c>
      <c r="G1060" s="687"/>
      <c r="H1060" s="688"/>
      <c r="I1060" s="686">
        <f>'[1]4.NERACA'!F91</f>
        <v>0</v>
      </c>
      <c r="J1060" s="687"/>
      <c r="K1060" s="688"/>
      <c r="L1060" s="686">
        <f>'[1]4.NERACA'!G91</f>
        <v>0</v>
      </c>
      <c r="M1060" s="687"/>
      <c r="N1060" s="688"/>
      <c r="O1060" s="686">
        <f>'[1]4.NERACA'!H91</f>
        <v>0</v>
      </c>
      <c r="P1060" s="687"/>
      <c r="Q1060" s="688"/>
      <c r="R1060" s="686">
        <f>B1060+F1060-I1060+L1060-O1060</f>
        <v>750000</v>
      </c>
      <c r="S1060" s="687"/>
      <c r="T1060" s="687"/>
      <c r="U1060" s="688"/>
      <c r="V1060" s="808"/>
      <c r="W1060" s="805"/>
      <c r="X1060" s="805"/>
      <c r="Y1060" s="208">
        <f>(R1060-B1060)/B1060*100</f>
        <v>0</v>
      </c>
      <c r="Z1060" s="805"/>
      <c r="AA1060" s="805"/>
      <c r="AB1060" s="805"/>
      <c r="AC1060" s="451">
        <f>R1060-B1060</f>
        <v>0</v>
      </c>
      <c r="AD1060" s="452"/>
      <c r="AE1060" s="452"/>
      <c r="AF1060" s="453"/>
    </row>
    <row r="1061" spans="1:32" s="20" customFormat="1" ht="19.5" customHeight="1">
      <c r="A1061" s="782"/>
      <c r="B1061" s="772" t="s">
        <v>436</v>
      </c>
      <c r="C1061" s="772"/>
      <c r="D1061" s="772"/>
      <c r="E1061" s="772"/>
      <c r="F1061" s="772"/>
      <c r="G1061" s="772"/>
      <c r="H1061" s="772"/>
      <c r="I1061" s="772"/>
      <c r="J1061" s="772"/>
      <c r="K1061" s="772"/>
      <c r="L1061" s="772"/>
      <c r="M1061" s="772"/>
      <c r="N1061" s="772"/>
      <c r="O1061" s="772"/>
      <c r="P1061" s="772"/>
      <c r="Q1061" s="772"/>
      <c r="R1061" s="772"/>
      <c r="S1061" s="772"/>
      <c r="T1061" s="772"/>
      <c r="U1061" s="772"/>
      <c r="V1061" s="27"/>
    </row>
    <row r="1062" spans="1:32" s="20" customFormat="1" ht="15.75" customHeight="1">
      <c r="A1062" s="782"/>
      <c r="B1062" s="442"/>
      <c r="C1062" s="428" t="s">
        <v>428</v>
      </c>
      <c r="D1062" s="428"/>
      <c r="E1062" s="428"/>
      <c r="F1062" s="428"/>
      <c r="G1062" s="428"/>
      <c r="H1062" s="428"/>
      <c r="I1062" s="428"/>
      <c r="J1062" s="428"/>
      <c r="K1062" s="428"/>
      <c r="L1062" s="428"/>
      <c r="M1062" s="428"/>
      <c r="N1062" s="428"/>
      <c r="O1062" s="428"/>
      <c r="P1062" s="428"/>
      <c r="Q1062" s="428"/>
      <c r="R1062" s="428"/>
      <c r="S1062" s="428"/>
      <c r="T1062" s="428"/>
      <c r="U1062" s="428"/>
      <c r="V1062" s="27"/>
    </row>
    <row r="1063" spans="1:32" s="20" customFormat="1" ht="22.5" customHeight="1">
      <c r="A1063" s="782"/>
      <c r="B1063" s="442"/>
      <c r="C1063" s="354" t="str">
        <f>"Mutasi Debet sebesar Rp. "&amp;FIXED(F1060+L1060)&amp;" "</f>
        <v xml:space="preserve">Mutasi Debet sebesar Rp. 0.00 </v>
      </c>
      <c r="D1063" s="354"/>
      <c r="E1063" s="354"/>
      <c r="F1063" s="354"/>
      <c r="G1063" s="354"/>
      <c r="H1063" s="354"/>
      <c r="I1063" s="354"/>
      <c r="J1063" s="354"/>
      <c r="K1063" s="354"/>
      <c r="L1063" s="354"/>
      <c r="M1063" s="354"/>
      <c r="N1063" s="354"/>
      <c r="O1063" s="354"/>
      <c r="P1063" s="354"/>
      <c r="Q1063" s="354"/>
      <c r="R1063" s="354"/>
      <c r="S1063" s="354"/>
      <c r="T1063" s="354"/>
      <c r="U1063" s="354"/>
      <c r="V1063" s="27"/>
    </row>
    <row r="1064" spans="1:32" s="20" customFormat="1" ht="15.75" customHeight="1">
      <c r="A1064" s="782"/>
      <c r="B1064" s="442"/>
      <c r="C1064" s="428" t="s">
        <v>430</v>
      </c>
      <c r="D1064" s="428"/>
      <c r="E1064" s="428"/>
      <c r="F1064" s="428"/>
      <c r="G1064" s="428"/>
      <c r="H1064" s="428"/>
      <c r="I1064" s="428"/>
      <c r="J1064" s="428"/>
      <c r="K1064" s="428"/>
      <c r="L1064" s="428"/>
      <c r="M1064" s="428"/>
      <c r="N1064" s="428"/>
      <c r="O1064" s="428"/>
      <c r="P1064" s="428"/>
      <c r="Q1064" s="428"/>
      <c r="R1064" s="428"/>
      <c r="S1064" s="428"/>
      <c r="T1064" s="428"/>
      <c r="U1064" s="428"/>
      <c r="V1064" s="27"/>
    </row>
    <row r="1065" spans="1:32" s="20" customFormat="1" ht="22.5" customHeight="1">
      <c r="A1065" s="782"/>
      <c r="B1065" s="442"/>
      <c r="C1065" s="354" t="str">
        <f>"Mutasi Kredit sebesar Rp. "&amp;FIXED(I1060+O1060)&amp;" "</f>
        <v xml:space="preserve">Mutasi Kredit sebesar Rp. 0.00 </v>
      </c>
      <c r="D1065" s="354"/>
      <c r="E1065" s="354"/>
      <c r="F1065" s="354"/>
      <c r="G1065" s="354"/>
      <c r="H1065" s="354"/>
      <c r="I1065" s="354"/>
      <c r="J1065" s="354"/>
      <c r="K1065" s="354"/>
      <c r="L1065" s="354"/>
      <c r="M1065" s="354"/>
      <c r="N1065" s="354"/>
      <c r="O1065" s="354"/>
      <c r="P1065" s="354"/>
      <c r="Q1065" s="354"/>
      <c r="R1065" s="354"/>
      <c r="S1065" s="354"/>
      <c r="T1065" s="354"/>
      <c r="U1065" s="354"/>
      <c r="V1065" s="27"/>
    </row>
    <row r="1066" spans="1:32" s="20" customFormat="1" ht="12" customHeight="1">
      <c r="A1066" s="7"/>
      <c r="B1066" s="567"/>
      <c r="C1066" s="567"/>
      <c r="D1066" s="567"/>
      <c r="E1066" s="567"/>
      <c r="F1066" s="567"/>
      <c r="G1066" s="567"/>
      <c r="H1066" s="567"/>
      <c r="I1066" s="567"/>
      <c r="J1066" s="567"/>
      <c r="K1066" s="567"/>
      <c r="L1066" s="567"/>
      <c r="M1066" s="567"/>
      <c r="N1066" s="814"/>
      <c r="O1066" s="814"/>
      <c r="P1066" s="814"/>
      <c r="Q1066" s="814"/>
      <c r="R1066" s="814"/>
      <c r="S1066" s="814"/>
      <c r="T1066" s="814"/>
      <c r="U1066" s="814"/>
      <c r="V1066" s="27"/>
    </row>
    <row r="1067" spans="1:32" s="20" customFormat="1" ht="15" customHeight="1">
      <c r="A1067" s="14"/>
      <c r="B1067" s="774" t="s">
        <v>452</v>
      </c>
      <c r="C1067" s="775" t="str">
        <f>'[1]4.NERACA'!C94</f>
        <v>Unit-Unit Laboratorium</v>
      </c>
      <c r="D1067" s="775"/>
      <c r="E1067" s="775"/>
      <c r="F1067" s="775"/>
      <c r="G1067" s="775"/>
      <c r="H1067" s="775"/>
      <c r="I1067" s="775"/>
      <c r="J1067" s="775"/>
      <c r="K1067" s="775"/>
      <c r="L1067" s="775"/>
      <c r="M1067" s="775"/>
      <c r="N1067" s="775"/>
      <c r="O1067" s="775"/>
      <c r="P1067" s="775"/>
      <c r="Q1067" s="775"/>
      <c r="R1067" s="775"/>
      <c r="S1067" s="775"/>
      <c r="T1067" s="775"/>
      <c r="U1067" s="775"/>
      <c r="V1067" s="27"/>
    </row>
    <row r="1068" spans="1:32" s="20" customFormat="1" ht="66" customHeight="1">
      <c r="A1068" s="14"/>
      <c r="C1068" s="313" t="str">
        <f>"Nilai aset tetap berupa alat Unit - unit Laboratorium  per "&amp;'[1]2.ISIAN DATA SKPD'!D8&amp;" dan  "&amp;'[1]2.ISIAN DATA SKPD'!D12&amp;" adalah sebesar Rp. "&amp;FIXED(R1073)&amp;" dan Rp. "&amp;FIXED(B1073)&amp;" mengalami kenaikan sebesar Rp "&amp;FIXED(AC1073)&amp;" atau sebesar "&amp;FIXED(Y1073)&amp;"%  dari tahun "&amp;'[1]2.ISIAN DATA SKPD'!D12&amp;"."</f>
        <v>Nilai aset tetap berupa alat Unit - unit Laboratorium  per 31 Desember 2017 dan  2016 adalah sebesar Rp. 359,748,688.00 dan Rp. 286,942,188.00 mengalami kenaikan sebesar Rp 72,806,500.00 atau sebesar 25.37%  dari tahun 2016.</v>
      </c>
      <c r="D1068" s="313"/>
      <c r="E1068" s="313"/>
      <c r="F1068" s="313"/>
      <c r="G1068" s="313"/>
      <c r="H1068" s="313"/>
      <c r="I1068" s="313"/>
      <c r="J1068" s="313"/>
      <c r="K1068" s="313"/>
      <c r="L1068" s="313"/>
      <c r="M1068" s="313"/>
      <c r="N1068" s="313"/>
      <c r="O1068" s="313"/>
      <c r="P1068" s="313"/>
      <c r="Q1068" s="313"/>
      <c r="R1068" s="313"/>
      <c r="S1068" s="313"/>
      <c r="T1068" s="313"/>
      <c r="U1068" s="313"/>
      <c r="V1068" s="27"/>
    </row>
    <row r="1069" spans="1:32" s="20" customFormat="1" ht="21.75" customHeight="1">
      <c r="A1069" s="14"/>
      <c r="C1069" s="313" t="str">
        <f>"Dengan mutasi  selama tahun "&amp;'[1]2.ISIAN DATA SKPD'!D11&amp;" sebagai berikut :"</f>
        <v>Dengan mutasi  selama tahun 2017 sebagai berikut :</v>
      </c>
      <c r="D1069" s="313"/>
      <c r="E1069" s="313"/>
      <c r="F1069" s="313"/>
      <c r="G1069" s="313"/>
      <c r="H1069" s="313"/>
      <c r="I1069" s="313"/>
      <c r="J1069" s="313"/>
      <c r="K1069" s="313"/>
      <c r="L1069" s="313"/>
      <c r="M1069" s="313"/>
      <c r="N1069" s="313"/>
      <c r="O1069" s="313"/>
      <c r="P1069" s="313"/>
      <c r="Q1069" s="313"/>
      <c r="R1069" s="313"/>
      <c r="S1069" s="313"/>
      <c r="T1069" s="313"/>
      <c r="U1069" s="313"/>
      <c r="V1069" s="27"/>
    </row>
    <row r="1070" spans="1:32" s="20" customFormat="1" ht="7.5" customHeight="1">
      <c r="A1070" s="14"/>
      <c r="C1070" s="285"/>
      <c r="D1070" s="285"/>
      <c r="E1070" s="285"/>
      <c r="F1070" s="285"/>
      <c r="G1070" s="285"/>
      <c r="H1070" s="285"/>
      <c r="I1070" s="285"/>
      <c r="J1070" s="285"/>
      <c r="K1070" s="285"/>
      <c r="L1070" s="285"/>
      <c r="M1070" s="285"/>
      <c r="N1070" s="285"/>
      <c r="O1070" s="285"/>
      <c r="P1070" s="285"/>
      <c r="Q1070" s="285"/>
      <c r="R1070" s="285"/>
      <c r="S1070" s="285"/>
      <c r="T1070" s="285"/>
      <c r="U1070" s="285"/>
      <c r="V1070" s="27"/>
    </row>
    <row r="1071" spans="1:32" s="20" customFormat="1" ht="25.5" customHeight="1">
      <c r="A1071" s="726" t="s">
        <v>84</v>
      </c>
      <c r="B1071" s="727" t="s">
        <v>411</v>
      </c>
      <c r="C1071" s="728"/>
      <c r="D1071" s="728"/>
      <c r="E1071" s="729"/>
      <c r="F1071" s="730" t="s">
        <v>412</v>
      </c>
      <c r="G1071" s="730"/>
      <c r="H1071" s="730"/>
      <c r="I1071" s="730"/>
      <c r="J1071" s="730"/>
      <c r="K1071" s="730"/>
      <c r="L1071" s="730" t="s">
        <v>413</v>
      </c>
      <c r="M1071" s="730"/>
      <c r="N1071" s="730"/>
      <c r="O1071" s="730"/>
      <c r="P1071" s="730"/>
      <c r="Q1071" s="730"/>
      <c r="R1071" s="731" t="s">
        <v>414</v>
      </c>
      <c r="S1071" s="731"/>
      <c r="T1071" s="731"/>
      <c r="U1071" s="731"/>
      <c r="V1071" s="27"/>
    </row>
    <row r="1072" spans="1:32" s="20" customFormat="1" ht="16.5" customHeight="1">
      <c r="A1072" s="732"/>
      <c r="B1072" s="733">
        <f>B1059</f>
        <v>2017</v>
      </c>
      <c r="C1072" s="734"/>
      <c r="D1072" s="734"/>
      <c r="E1072" s="735"/>
      <c r="F1072" s="727" t="s">
        <v>415</v>
      </c>
      <c r="G1072" s="728"/>
      <c r="H1072" s="729"/>
      <c r="I1072" s="727" t="s">
        <v>416</v>
      </c>
      <c r="J1072" s="728"/>
      <c r="K1072" s="729"/>
      <c r="L1072" s="727" t="s">
        <v>415</v>
      </c>
      <c r="M1072" s="728"/>
      <c r="N1072" s="729"/>
      <c r="O1072" s="255" t="s">
        <v>416</v>
      </c>
      <c r="P1072" s="256"/>
      <c r="Q1072" s="257"/>
      <c r="R1072" s="776">
        <f>R1059</f>
        <v>2017</v>
      </c>
      <c r="S1072" s="791"/>
      <c r="T1072" s="791"/>
      <c r="U1072" s="792"/>
      <c r="V1072" s="804"/>
      <c r="W1072" s="805"/>
      <c r="X1072" s="805"/>
      <c r="Y1072" s="208" t="s">
        <v>417</v>
      </c>
      <c r="Z1072" s="805"/>
      <c r="AA1072" s="805"/>
      <c r="AB1072" s="805"/>
      <c r="AC1072" s="712" t="s">
        <v>404</v>
      </c>
      <c r="AD1072" s="713"/>
      <c r="AE1072" s="713"/>
      <c r="AF1072" s="806"/>
    </row>
    <row r="1073" spans="1:32" s="20" customFormat="1" ht="34.5" customHeight="1">
      <c r="A1073" s="771" t="str">
        <f>C1067</f>
        <v>Unit-Unit Laboratorium</v>
      </c>
      <c r="B1073" s="740">
        <f>'[1]4.NERACA'!D94</f>
        <v>286942188</v>
      </c>
      <c r="C1073" s="741"/>
      <c r="D1073" s="741"/>
      <c r="E1073" s="742"/>
      <c r="F1073" s="740">
        <f>'[1]4.NERACA'!E94</f>
        <v>0</v>
      </c>
      <c r="G1073" s="741"/>
      <c r="H1073" s="742"/>
      <c r="I1073" s="740">
        <f>'[1]4.NERACA'!F94</f>
        <v>24882000</v>
      </c>
      <c r="J1073" s="741"/>
      <c r="K1073" s="742"/>
      <c r="L1073" s="740">
        <f>'[1]4.NERACA'!G94</f>
        <v>97688500</v>
      </c>
      <c r="M1073" s="741"/>
      <c r="N1073" s="742"/>
      <c r="O1073" s="740">
        <f>'[1]4.NERACA'!H94</f>
        <v>0</v>
      </c>
      <c r="P1073" s="741"/>
      <c r="Q1073" s="742"/>
      <c r="R1073" s="740">
        <f>B1073+F1073-I1073+L1073-O1073</f>
        <v>359748688</v>
      </c>
      <c r="S1073" s="741"/>
      <c r="T1073" s="741"/>
      <c r="U1073" s="742"/>
      <c r="V1073" s="808"/>
      <c r="W1073" s="805"/>
      <c r="X1073" s="805"/>
      <c r="Y1073" s="208">
        <f>(R1073-B1073)/B1073*100</f>
        <v>25.373229537094073</v>
      </c>
      <c r="Z1073" s="805"/>
      <c r="AA1073" s="805"/>
      <c r="AB1073" s="805"/>
      <c r="AC1073" s="451">
        <f>R1073-B1073</f>
        <v>72806500</v>
      </c>
      <c r="AD1073" s="452"/>
      <c r="AE1073" s="452"/>
      <c r="AF1073" s="453"/>
    </row>
    <row r="1074" spans="1:32" s="20" customFormat="1" ht="18.75" customHeight="1">
      <c r="A1074" s="782"/>
      <c r="B1074" s="772" t="s">
        <v>436</v>
      </c>
      <c r="C1074" s="772"/>
      <c r="D1074" s="772"/>
      <c r="E1074" s="772"/>
      <c r="F1074" s="772"/>
      <c r="G1074" s="772"/>
      <c r="H1074" s="772"/>
      <c r="I1074" s="772"/>
      <c r="J1074" s="772"/>
      <c r="K1074" s="772"/>
      <c r="L1074" s="772"/>
      <c r="M1074" s="772"/>
      <c r="N1074" s="772"/>
      <c r="O1074" s="772"/>
      <c r="P1074" s="772"/>
      <c r="Q1074" s="772"/>
      <c r="R1074" s="772"/>
      <c r="S1074" s="772"/>
      <c r="T1074" s="772"/>
      <c r="U1074" s="772"/>
      <c r="V1074" s="27"/>
    </row>
    <row r="1075" spans="1:32" s="20" customFormat="1" ht="18" customHeight="1">
      <c r="A1075" s="782"/>
      <c r="B1075" s="442"/>
      <c r="C1075" s="428" t="s">
        <v>428</v>
      </c>
      <c r="D1075" s="428"/>
      <c r="E1075" s="428"/>
      <c r="F1075" s="428"/>
      <c r="G1075" s="428"/>
      <c r="H1075" s="428"/>
      <c r="I1075" s="428"/>
      <c r="J1075" s="428"/>
      <c r="K1075" s="428"/>
      <c r="L1075" s="428"/>
      <c r="M1075" s="428"/>
      <c r="N1075" s="428"/>
      <c r="O1075" s="428"/>
      <c r="P1075" s="428"/>
      <c r="Q1075" s="428"/>
      <c r="R1075" s="428"/>
      <c r="S1075" s="428"/>
      <c r="T1075" s="428"/>
      <c r="U1075" s="428"/>
      <c r="V1075" s="27"/>
    </row>
    <row r="1076" spans="1:32" s="20" customFormat="1" ht="61.5" customHeight="1">
      <c r="A1076" s="782"/>
      <c r="B1076" s="442"/>
      <c r="C1076" s="354" t="str">
        <f>"Mutasi Debet sebesar Rp. "&amp;FIXED(F1073+L1073)&amp;" adalah hasil pengadaan barang tahun "&amp;'[1]2.ISIAN DATA SKPD'!D11&amp;" dari belanja modal berupa Laboratory Concrete Mixer, Concrete  Cyinder Mold ,  Drilling seet dan Heavy Duty Solution Balance OHAUS  ."</f>
        <v>Mutasi Debet sebesar Rp. 97,688,500.00 adalah hasil pengadaan barang tahun 2017 dari belanja modal berupa Laboratory Concrete Mixer, Concrete  Cyinder Mold ,  Drilling seet dan Heavy Duty Solution Balance OHAUS  .</v>
      </c>
      <c r="D1076" s="354"/>
      <c r="E1076" s="354"/>
      <c r="F1076" s="354"/>
      <c r="G1076" s="354"/>
      <c r="H1076" s="354"/>
      <c r="I1076" s="354"/>
      <c r="J1076" s="354"/>
      <c r="K1076" s="354"/>
      <c r="L1076" s="354"/>
      <c r="M1076" s="354"/>
      <c r="N1076" s="354"/>
      <c r="O1076" s="354"/>
      <c r="P1076" s="354"/>
      <c r="Q1076" s="354"/>
      <c r="R1076" s="354"/>
      <c r="S1076" s="354"/>
      <c r="T1076" s="354"/>
      <c r="U1076" s="354"/>
      <c r="V1076" s="27"/>
    </row>
    <row r="1077" spans="1:32" s="20" customFormat="1" ht="18" customHeight="1">
      <c r="A1077" s="782"/>
      <c r="B1077" s="442"/>
      <c r="C1077" s="428" t="s">
        <v>430</v>
      </c>
      <c r="D1077" s="428"/>
      <c r="E1077" s="428"/>
      <c r="F1077" s="428"/>
      <c r="G1077" s="428"/>
      <c r="H1077" s="428"/>
      <c r="I1077" s="428"/>
      <c r="J1077" s="428"/>
      <c r="K1077" s="428"/>
      <c r="L1077" s="428"/>
      <c r="M1077" s="428"/>
      <c r="N1077" s="428"/>
      <c r="O1077" s="428"/>
      <c r="P1077" s="428"/>
      <c r="Q1077" s="428"/>
      <c r="R1077" s="428"/>
      <c r="S1077" s="428"/>
      <c r="T1077" s="428"/>
      <c r="U1077" s="428"/>
      <c r="V1077" s="27"/>
    </row>
    <row r="1078" spans="1:32" s="20" customFormat="1" ht="35.25" customHeight="1">
      <c r="A1078" s="782"/>
      <c r="B1078" s="442"/>
      <c r="C1078" s="354" t="str">
        <f>"Mutasi Kredit Rp. "&amp;FIXED(I1073+O1073)&amp;" adalah reklas berupa unit - unit laboratorium  senilai Rp.24.882.000 "</f>
        <v xml:space="preserve">Mutasi Kredit Rp. 24,882,000.00 adalah reklas berupa unit - unit laboratorium  senilai Rp.24.882.000 </v>
      </c>
      <c r="D1078" s="354"/>
      <c r="E1078" s="354"/>
      <c r="F1078" s="354"/>
      <c r="G1078" s="354"/>
      <c r="H1078" s="354"/>
      <c r="I1078" s="354"/>
      <c r="J1078" s="354"/>
      <c r="K1078" s="354"/>
      <c r="L1078" s="354"/>
      <c r="M1078" s="354"/>
      <c r="N1078" s="354"/>
      <c r="O1078" s="354"/>
      <c r="P1078" s="354"/>
      <c r="Q1078" s="354"/>
      <c r="R1078" s="354"/>
      <c r="S1078" s="354"/>
      <c r="T1078" s="354"/>
      <c r="U1078" s="354"/>
      <c r="V1078" s="27"/>
    </row>
    <row r="1079" spans="1:32" s="20" customFormat="1" ht="10.5" customHeight="1">
      <c r="A1079" s="14"/>
      <c r="B1079" s="567"/>
      <c r="C1079" s="567"/>
      <c r="D1079" s="567"/>
      <c r="E1079" s="567"/>
      <c r="F1079" s="567"/>
      <c r="G1079" s="567"/>
      <c r="H1079" s="567"/>
      <c r="I1079" s="567"/>
      <c r="J1079" s="567"/>
      <c r="K1079" s="567"/>
      <c r="L1079" s="567"/>
      <c r="M1079" s="567"/>
      <c r="N1079" s="567"/>
      <c r="O1079" s="567"/>
      <c r="P1079" s="567"/>
      <c r="Q1079" s="567"/>
      <c r="R1079" s="567"/>
      <c r="S1079" s="567"/>
      <c r="T1079" s="567"/>
      <c r="U1079" s="567"/>
      <c r="V1079" s="27"/>
    </row>
    <row r="1080" spans="1:32" s="20" customFormat="1" ht="23.25" customHeight="1">
      <c r="A1080" s="14"/>
      <c r="B1080" s="815" t="s">
        <v>453</v>
      </c>
      <c r="C1080" s="775" t="str">
        <f>'[1]4.NERACA'!C101</f>
        <v>Alat Keamanan dan Perlindungan</v>
      </c>
      <c r="D1080" s="775"/>
      <c r="E1080" s="775"/>
      <c r="F1080" s="775"/>
      <c r="G1080" s="775"/>
      <c r="H1080" s="775"/>
      <c r="I1080" s="775"/>
      <c r="J1080" s="775"/>
      <c r="K1080" s="775"/>
      <c r="L1080" s="775"/>
      <c r="M1080" s="775"/>
      <c r="N1080" s="775"/>
      <c r="O1080" s="775"/>
      <c r="P1080" s="775"/>
      <c r="Q1080" s="775"/>
      <c r="R1080" s="775"/>
      <c r="S1080" s="775"/>
      <c r="T1080" s="775"/>
      <c r="U1080" s="775"/>
      <c r="V1080" s="27"/>
    </row>
    <row r="1081" spans="1:32" s="20" customFormat="1" ht="63" customHeight="1">
      <c r="A1081" s="14"/>
      <c r="C1081" s="313" t="str">
        <f>"Nilai aset tetap berupa alat keamanan dan perlindungan per "&amp;'[1]2.ISIAN DATA SKPD'!D8&amp;" dan  "&amp;'[1]2.ISIAN DATA SKPD'!D12&amp;" adalah sebesar Rp. "&amp;FIXED(R1086)&amp;" dan Rp. "&amp;FIXED(B1086)&amp;" mengalami kenaikan/penurunan sebesar Rp. "&amp;FIXED(AC1086)&amp;" atau sebesar "&amp;FIXED(Y1086)&amp;"% dari tahun "&amp;'[1]2.ISIAN DATA SKPD'!D11&amp;"."</f>
        <v>Nilai aset tetap berupa alat keamanan dan perlindungan per 31 Desember 2017 dan  2016 adalah sebesar Rp. 20,121,583.00 dan Rp. 0.00 mengalami kenaikan/penurunan sebesar Rp. 20,121,583.00 atau sebesar 0.00% dari tahun 2017.</v>
      </c>
      <c r="D1081" s="313"/>
      <c r="E1081" s="313"/>
      <c r="F1081" s="313"/>
      <c r="G1081" s="313"/>
      <c r="H1081" s="313"/>
      <c r="I1081" s="313"/>
      <c r="J1081" s="313"/>
      <c r="K1081" s="313"/>
      <c r="L1081" s="313"/>
      <c r="M1081" s="313"/>
      <c r="N1081" s="313"/>
      <c r="O1081" s="313"/>
      <c r="P1081" s="313"/>
      <c r="Q1081" s="313"/>
      <c r="R1081" s="313"/>
      <c r="S1081" s="313"/>
      <c r="T1081" s="313"/>
      <c r="U1081" s="313"/>
      <c r="V1081" s="27"/>
    </row>
    <row r="1082" spans="1:32" s="20" customFormat="1" ht="16.5" customHeight="1">
      <c r="A1082" s="14"/>
      <c r="B1082" s="285"/>
      <c r="C1082" s="313" t="str">
        <f>"Dengan mutasi  selama tahun "&amp;'[1]2.ISIAN DATA SKPD'!D203&amp;" sebagai berikut :"</f>
        <v>Dengan mutasi  selama tahun  sebagai berikut :</v>
      </c>
      <c r="D1082" s="313"/>
      <c r="E1082" s="313"/>
      <c r="F1082" s="313"/>
      <c r="G1082" s="313"/>
      <c r="H1082" s="313"/>
      <c r="I1082" s="313"/>
      <c r="J1082" s="313"/>
      <c r="K1082" s="313"/>
      <c r="L1082" s="313"/>
      <c r="M1082" s="313"/>
      <c r="N1082" s="313"/>
      <c r="O1082" s="313"/>
      <c r="P1082" s="313"/>
      <c r="Q1082" s="313"/>
      <c r="R1082" s="313"/>
      <c r="S1082" s="313"/>
      <c r="T1082" s="313"/>
      <c r="U1082" s="313"/>
      <c r="V1082" s="27"/>
    </row>
    <row r="1083" spans="1:32" s="20" customFormat="1" ht="11.25" customHeight="1">
      <c r="A1083" s="14"/>
      <c r="B1083" s="285"/>
      <c r="C1083" s="285"/>
      <c r="D1083" s="285"/>
      <c r="E1083" s="285"/>
      <c r="F1083" s="285"/>
      <c r="G1083" s="285"/>
      <c r="H1083" s="285"/>
      <c r="I1083" s="285"/>
      <c r="J1083" s="285"/>
      <c r="K1083" s="285"/>
      <c r="L1083" s="285"/>
      <c r="M1083" s="285"/>
      <c r="N1083" s="285"/>
      <c r="O1083" s="285"/>
      <c r="P1083" s="285"/>
      <c r="Q1083" s="285"/>
      <c r="R1083" s="285"/>
      <c r="S1083" s="285"/>
      <c r="T1083" s="285"/>
      <c r="U1083" s="285"/>
      <c r="V1083" s="27"/>
    </row>
    <row r="1084" spans="1:32" s="20" customFormat="1" ht="24.75" customHeight="1">
      <c r="A1084" s="726" t="s">
        <v>84</v>
      </c>
      <c r="B1084" s="573" t="s">
        <v>411</v>
      </c>
      <c r="C1084" s="457"/>
      <c r="D1084" s="457"/>
      <c r="E1084" s="458"/>
      <c r="F1084" s="786" t="s">
        <v>412</v>
      </c>
      <c r="G1084" s="786"/>
      <c r="H1084" s="786"/>
      <c r="I1084" s="786"/>
      <c r="J1084" s="786"/>
      <c r="K1084" s="786"/>
      <c r="L1084" s="786" t="s">
        <v>413</v>
      </c>
      <c r="M1084" s="786"/>
      <c r="N1084" s="786"/>
      <c r="O1084" s="786"/>
      <c r="P1084" s="786"/>
      <c r="Q1084" s="786"/>
      <c r="R1084" s="99" t="s">
        <v>414</v>
      </c>
      <c r="S1084" s="99"/>
      <c r="T1084" s="99"/>
      <c r="U1084" s="99"/>
      <c r="V1084" s="27"/>
    </row>
    <row r="1085" spans="1:32" s="20" customFormat="1" ht="18.75" customHeight="1">
      <c r="A1085" s="732"/>
      <c r="B1085" s="787">
        <f>B1072</f>
        <v>2017</v>
      </c>
      <c r="C1085" s="788"/>
      <c r="D1085" s="788"/>
      <c r="E1085" s="789"/>
      <c r="F1085" s="99" t="s">
        <v>415</v>
      </c>
      <c r="G1085" s="99"/>
      <c r="H1085" s="99"/>
      <c r="I1085" s="99" t="s">
        <v>416</v>
      </c>
      <c r="J1085" s="99"/>
      <c r="K1085" s="99"/>
      <c r="L1085" s="99" t="s">
        <v>415</v>
      </c>
      <c r="M1085" s="99"/>
      <c r="N1085" s="99"/>
      <c r="O1085" s="790" t="s">
        <v>416</v>
      </c>
      <c r="P1085" s="790"/>
      <c r="Q1085" s="790"/>
      <c r="R1085" s="776">
        <f>R1072</f>
        <v>2017</v>
      </c>
      <c r="S1085" s="791"/>
      <c r="T1085" s="791"/>
      <c r="U1085" s="792"/>
      <c r="V1085" s="804"/>
      <c r="W1085" s="805"/>
      <c r="X1085" s="805"/>
      <c r="Y1085" s="208" t="s">
        <v>417</v>
      </c>
      <c r="Z1085" s="805"/>
      <c r="AA1085" s="805"/>
      <c r="AB1085" s="805"/>
      <c r="AC1085" s="712" t="s">
        <v>404</v>
      </c>
      <c r="AD1085" s="713"/>
      <c r="AE1085" s="713"/>
      <c r="AF1085" s="806"/>
    </row>
    <row r="1086" spans="1:32" s="20" customFormat="1" ht="36" customHeight="1">
      <c r="A1086" s="746" t="str">
        <f>C1080</f>
        <v>Alat Keamanan dan Perlindungan</v>
      </c>
      <c r="B1086" s="757">
        <f>'[1]4.NERACA'!D101</f>
        <v>0</v>
      </c>
      <c r="C1086" s="758"/>
      <c r="D1086" s="758"/>
      <c r="E1086" s="759"/>
      <c r="F1086" s="148">
        <f>'[1]4.NERACA'!E101</f>
        <v>20121583</v>
      </c>
      <c r="G1086" s="149"/>
      <c r="H1086" s="150"/>
      <c r="I1086" s="757">
        <f>'[1]4.NERACA'!F101</f>
        <v>0</v>
      </c>
      <c r="J1086" s="758"/>
      <c r="K1086" s="759"/>
      <c r="L1086" s="757">
        <f>'[1]4.NERACA'!G101</f>
        <v>0</v>
      </c>
      <c r="M1086" s="758"/>
      <c r="N1086" s="759"/>
      <c r="O1086" s="757">
        <f>'[1]4.NERACA'!H101</f>
        <v>0</v>
      </c>
      <c r="P1086" s="758"/>
      <c r="Q1086" s="759"/>
      <c r="R1086" s="148">
        <f>B1086+F1086-I1086+L1086-O1086</f>
        <v>20121583</v>
      </c>
      <c r="S1086" s="149"/>
      <c r="T1086" s="149"/>
      <c r="U1086" s="150"/>
      <c r="V1086" s="808"/>
      <c r="W1086" s="805"/>
      <c r="X1086" s="805"/>
      <c r="Y1086" s="208">
        <v>0</v>
      </c>
      <c r="Z1086" s="805"/>
      <c r="AA1086" s="805"/>
      <c r="AB1086" s="805"/>
      <c r="AC1086" s="451">
        <f>R1086-B1086</f>
        <v>20121583</v>
      </c>
      <c r="AD1086" s="452"/>
      <c r="AE1086" s="452"/>
      <c r="AF1086" s="453"/>
    </row>
    <row r="1087" spans="1:32" s="20" customFormat="1" ht="18.75" customHeight="1">
      <c r="A1087" s="782"/>
      <c r="B1087" s="772" t="s">
        <v>436</v>
      </c>
      <c r="C1087" s="772"/>
      <c r="D1087" s="772"/>
      <c r="E1087" s="772"/>
      <c r="F1087" s="772"/>
      <c r="G1087" s="772"/>
      <c r="H1087" s="772"/>
      <c r="I1087" s="772"/>
      <c r="J1087" s="772"/>
      <c r="K1087" s="772"/>
      <c r="L1087" s="772"/>
      <c r="M1087" s="772"/>
      <c r="N1087" s="772"/>
      <c r="O1087" s="772"/>
      <c r="P1087" s="772"/>
      <c r="Q1087" s="772"/>
      <c r="R1087" s="772"/>
      <c r="S1087" s="772"/>
      <c r="T1087" s="772"/>
      <c r="U1087" s="772"/>
      <c r="V1087" s="27"/>
    </row>
    <row r="1088" spans="1:32" s="20" customFormat="1" ht="15.75" customHeight="1">
      <c r="A1088" s="782"/>
      <c r="B1088" s="442"/>
      <c r="C1088" s="428" t="s">
        <v>428</v>
      </c>
      <c r="D1088" s="428"/>
      <c r="E1088" s="428"/>
      <c r="F1088" s="428"/>
      <c r="G1088" s="428"/>
      <c r="H1088" s="428"/>
      <c r="I1088" s="428"/>
      <c r="J1088" s="428"/>
      <c r="K1088" s="428"/>
      <c r="L1088" s="428"/>
      <c r="M1088" s="428"/>
      <c r="N1088" s="428"/>
      <c r="O1088" s="428"/>
      <c r="P1088" s="428"/>
      <c r="Q1088" s="428"/>
      <c r="R1088" s="428"/>
      <c r="S1088" s="428"/>
      <c r="T1088" s="428"/>
      <c r="U1088" s="428"/>
      <c r="V1088" s="27"/>
    </row>
    <row r="1089" spans="1:22" s="20" customFormat="1" ht="48" customHeight="1">
      <c r="A1089" s="782"/>
      <c r="B1089" s="442"/>
      <c r="C1089" s="354" t="str">
        <f>"Mutasi Debet sebesar Rp. "&amp;FIXED(F1086+L1086)&amp;" adalah hasil reklas pengadaan alat-alat Studio pengadaan barang tahun "&amp;'[1]2.ISIAN DATA SKPD'!D11&amp;" dari belanja modal berupa CCTV"</f>
        <v>Mutasi Debet sebesar Rp. 20,121,583.00 adalah hasil reklas pengadaan alat-alat Studio pengadaan barang tahun 2017 dari belanja modal berupa CCTV</v>
      </c>
      <c r="D1089" s="354"/>
      <c r="E1089" s="354"/>
      <c r="F1089" s="354"/>
      <c r="G1089" s="354"/>
      <c r="H1089" s="354"/>
      <c r="I1089" s="354"/>
      <c r="J1089" s="354"/>
      <c r="K1089" s="354"/>
      <c r="L1089" s="354"/>
      <c r="M1089" s="354"/>
      <c r="N1089" s="354"/>
      <c r="O1089" s="354"/>
      <c r="P1089" s="354"/>
      <c r="Q1089" s="354"/>
      <c r="R1089" s="354"/>
      <c r="S1089" s="354"/>
      <c r="T1089" s="354"/>
      <c r="U1089" s="354"/>
      <c r="V1089" s="27"/>
    </row>
    <row r="1090" spans="1:22" s="20" customFormat="1" ht="21" customHeight="1">
      <c r="A1090" s="782"/>
      <c r="B1090" s="442"/>
      <c r="C1090" s="428" t="s">
        <v>430</v>
      </c>
      <c r="D1090" s="428"/>
      <c r="E1090" s="428"/>
      <c r="F1090" s="428"/>
      <c r="G1090" s="428"/>
      <c r="H1090" s="428"/>
      <c r="I1090" s="428"/>
      <c r="J1090" s="428"/>
      <c r="K1090" s="428"/>
      <c r="L1090" s="428"/>
      <c r="M1090" s="428"/>
      <c r="N1090" s="428"/>
      <c r="O1090" s="428"/>
      <c r="P1090" s="428"/>
      <c r="Q1090" s="428"/>
      <c r="R1090" s="428"/>
      <c r="S1090" s="428"/>
      <c r="T1090" s="428"/>
      <c r="U1090" s="428"/>
      <c r="V1090" s="27"/>
    </row>
    <row r="1091" spans="1:22" s="20" customFormat="1" ht="18.75" customHeight="1">
      <c r="A1091" s="782"/>
      <c r="B1091" s="442"/>
      <c r="C1091" s="354" t="str">
        <f>"Mutasi Kredit Rp. "&amp;FIXED(I1086+O1086)&amp;"."</f>
        <v>Mutasi Kredit Rp. 0.00.</v>
      </c>
      <c r="D1091" s="354"/>
      <c r="E1091" s="354"/>
      <c r="F1091" s="354"/>
      <c r="G1091" s="354"/>
      <c r="H1091" s="354"/>
      <c r="I1091" s="354"/>
      <c r="J1091" s="354"/>
      <c r="K1091" s="354"/>
      <c r="L1091" s="354"/>
      <c r="M1091" s="354"/>
      <c r="N1091" s="354"/>
      <c r="O1091" s="354"/>
      <c r="P1091" s="354"/>
      <c r="Q1091" s="354"/>
      <c r="R1091" s="354"/>
      <c r="S1091" s="354"/>
      <c r="T1091" s="354"/>
      <c r="U1091" s="354"/>
      <c r="V1091" s="27"/>
    </row>
    <row r="1092" spans="1:22" s="20" customFormat="1" ht="8.25" customHeight="1">
      <c r="A1092" s="782"/>
      <c r="B1092" s="784"/>
      <c r="C1092" s="357"/>
      <c r="D1092" s="357"/>
      <c r="E1092" s="357"/>
      <c r="F1092" s="357"/>
      <c r="G1092" s="357"/>
      <c r="H1092" s="357"/>
      <c r="I1092" s="357"/>
      <c r="J1092" s="357"/>
      <c r="K1092" s="357"/>
      <c r="L1092" s="357"/>
      <c r="M1092" s="357"/>
      <c r="N1092" s="357"/>
      <c r="O1092" s="357"/>
      <c r="P1092" s="357"/>
      <c r="Q1092" s="357"/>
      <c r="R1092" s="357"/>
      <c r="S1092" s="357"/>
      <c r="T1092" s="357"/>
      <c r="U1092" s="357"/>
      <c r="V1092" s="27"/>
    </row>
    <row r="1093" spans="1:22" s="20" customFormat="1" ht="38.25" customHeight="1">
      <c r="A1093" s="782"/>
      <c r="B1093" s="650" t="str">
        <f>"Rincian saldo Peralatan dan Mesin per "&amp;'[1]2.ISIAN DATA SKPD'!D8&amp;" adalah sebagai berikut:"</f>
        <v>Rincian saldo Peralatan dan Mesin per 31 Desember 2017 adalah sebagai berikut:</v>
      </c>
      <c r="C1093" s="650"/>
      <c r="D1093" s="650"/>
      <c r="E1093" s="650"/>
      <c r="F1093" s="650"/>
      <c r="G1093" s="650"/>
      <c r="H1093" s="650"/>
      <c r="I1093" s="650"/>
      <c r="J1093" s="650"/>
      <c r="K1093" s="650"/>
      <c r="L1093" s="650"/>
      <c r="M1093" s="650"/>
      <c r="N1093" s="650"/>
      <c r="O1093" s="650"/>
      <c r="P1093" s="650"/>
      <c r="Q1093" s="650"/>
      <c r="R1093" s="650"/>
      <c r="S1093" s="650"/>
      <c r="T1093" s="650"/>
      <c r="U1093" s="650"/>
      <c r="V1093" s="27"/>
    </row>
    <row r="1094" spans="1:22" s="20" customFormat="1" ht="8.25" customHeight="1">
      <c r="A1094" s="782"/>
      <c r="B1094" s="816"/>
      <c r="C1094" s="816"/>
      <c r="D1094" s="816"/>
      <c r="E1094" s="816"/>
      <c r="F1094" s="816"/>
      <c r="G1094" s="816"/>
      <c r="H1094" s="816"/>
      <c r="I1094" s="816"/>
      <c r="J1094" s="816"/>
      <c r="K1094" s="816"/>
      <c r="L1094" s="816"/>
      <c r="M1094" s="816"/>
      <c r="N1094" s="816"/>
      <c r="O1094" s="816"/>
      <c r="P1094" s="816"/>
      <c r="Q1094" s="816"/>
      <c r="R1094" s="816"/>
      <c r="S1094" s="816"/>
      <c r="T1094" s="816"/>
      <c r="U1094" s="816"/>
      <c r="V1094" s="27"/>
    </row>
    <row r="1095" spans="1:22" s="20" customFormat="1" ht="18.75" customHeight="1">
      <c r="A1095" s="782"/>
      <c r="B1095" s="657" t="s">
        <v>147</v>
      </c>
      <c r="C1095" s="659"/>
      <c r="D1095" s="657" t="s">
        <v>293</v>
      </c>
      <c r="E1095" s="658"/>
      <c r="F1095" s="658"/>
      <c r="G1095" s="658"/>
      <c r="H1095" s="658"/>
      <c r="I1095" s="658"/>
      <c r="J1095" s="658"/>
      <c r="K1095" s="658"/>
      <c r="L1095" s="658"/>
      <c r="M1095" s="658"/>
      <c r="N1095" s="658"/>
      <c r="O1095" s="658"/>
      <c r="P1095" s="659"/>
      <c r="Q1095" s="657" t="s">
        <v>424</v>
      </c>
      <c r="R1095" s="658"/>
      <c r="S1095" s="658"/>
      <c r="T1095" s="658"/>
      <c r="U1095" s="659"/>
      <c r="V1095" s="27"/>
    </row>
    <row r="1096" spans="1:22" s="20" customFormat="1" ht="15.75" customHeight="1">
      <c r="A1096" s="782"/>
      <c r="B1096" s="817">
        <v>1</v>
      </c>
      <c r="C1096" s="818"/>
      <c r="D1096" s="332" t="str">
        <f>'[1]4.NERACA'!C77</f>
        <v>Alat-Alat Besar Darat</v>
      </c>
      <c r="E1096" s="333"/>
      <c r="F1096" s="333"/>
      <c r="G1096" s="333"/>
      <c r="H1096" s="333"/>
      <c r="I1096" s="333"/>
      <c r="J1096" s="333"/>
      <c r="K1096" s="333"/>
      <c r="L1096" s="333"/>
      <c r="M1096" s="333"/>
      <c r="N1096" s="333"/>
      <c r="O1096" s="333"/>
      <c r="P1096" s="334"/>
      <c r="Q1096" s="148">
        <f>'[1]4.NERACA'!I77</f>
        <v>6197928278</v>
      </c>
      <c r="R1096" s="149"/>
      <c r="S1096" s="149"/>
      <c r="T1096" s="149"/>
      <c r="U1096" s="150"/>
      <c r="V1096" s="27"/>
    </row>
    <row r="1097" spans="1:22" s="20" customFormat="1" ht="18.75" customHeight="1">
      <c r="A1097" s="782"/>
      <c r="B1097" s="817">
        <f>B1096+1</f>
        <v>2</v>
      </c>
      <c r="C1097" s="818"/>
      <c r="D1097" s="332" t="str">
        <f>'[1]4.NERACA'!C78</f>
        <v>Alat-alat Bantu</v>
      </c>
      <c r="E1097" s="333"/>
      <c r="F1097" s="333"/>
      <c r="G1097" s="333"/>
      <c r="H1097" s="333"/>
      <c r="I1097" s="333"/>
      <c r="J1097" s="333"/>
      <c r="K1097" s="333"/>
      <c r="L1097" s="333"/>
      <c r="M1097" s="333"/>
      <c r="N1097" s="333"/>
      <c r="O1097" s="333"/>
      <c r="P1097" s="334"/>
      <c r="Q1097" s="148">
        <f>'[1]4.NERACA'!I78</f>
        <v>156885591</v>
      </c>
      <c r="R1097" s="149"/>
      <c r="S1097" s="149"/>
      <c r="T1097" s="149"/>
      <c r="U1097" s="150"/>
      <c r="V1097" s="27"/>
    </row>
    <row r="1098" spans="1:22" s="20" customFormat="1" ht="27" customHeight="1">
      <c r="A1098" s="782"/>
      <c r="B1098" s="817">
        <f t="shared" ref="B1098:B1117" si="26">B1097+1</f>
        <v>3</v>
      </c>
      <c r="C1098" s="818"/>
      <c r="D1098" s="332" t="str">
        <f>'[1]4.NERACA'!C79</f>
        <v>Alat Angkutan Darat Bermotor</v>
      </c>
      <c r="E1098" s="333"/>
      <c r="F1098" s="333"/>
      <c r="G1098" s="333"/>
      <c r="H1098" s="333"/>
      <c r="I1098" s="333"/>
      <c r="J1098" s="333"/>
      <c r="K1098" s="333"/>
      <c r="L1098" s="333"/>
      <c r="M1098" s="333"/>
      <c r="N1098" s="333"/>
      <c r="O1098" s="333"/>
      <c r="P1098" s="334"/>
      <c r="Q1098" s="148">
        <f>'[1]4.NERACA'!I79</f>
        <v>2523484754</v>
      </c>
      <c r="R1098" s="149"/>
      <c r="S1098" s="149"/>
      <c r="T1098" s="149"/>
      <c r="U1098" s="150"/>
      <c r="V1098" s="27"/>
    </row>
    <row r="1099" spans="1:22" s="20" customFormat="1" ht="27.75" customHeight="1">
      <c r="A1099" s="782"/>
      <c r="B1099" s="817">
        <f t="shared" si="26"/>
        <v>4</v>
      </c>
      <c r="C1099" s="818"/>
      <c r="D1099" s="332" t="str">
        <f>'[1]4.NERACA'!C80</f>
        <v>Alat Angkutan Berat Tak Bermotor</v>
      </c>
      <c r="E1099" s="333"/>
      <c r="F1099" s="333"/>
      <c r="G1099" s="333"/>
      <c r="H1099" s="333"/>
      <c r="I1099" s="333"/>
      <c r="J1099" s="333"/>
      <c r="K1099" s="333"/>
      <c r="L1099" s="333"/>
      <c r="M1099" s="333"/>
      <c r="N1099" s="333"/>
      <c r="O1099" s="333"/>
      <c r="P1099" s="334"/>
      <c r="Q1099" s="148">
        <f>'[1]4.NERACA'!I80</f>
        <v>3513125</v>
      </c>
      <c r="R1099" s="149"/>
      <c r="S1099" s="149"/>
      <c r="T1099" s="149"/>
      <c r="U1099" s="150"/>
      <c r="V1099" s="27"/>
    </row>
    <row r="1100" spans="1:22" s="20" customFormat="1" ht="18.75" customHeight="1">
      <c r="A1100" s="782"/>
      <c r="B1100" s="817">
        <f t="shared" si="26"/>
        <v>5</v>
      </c>
      <c r="C1100" s="818"/>
      <c r="D1100" s="332" t="str">
        <f>'[1]4.NERACA'!C81</f>
        <v>Alat Bengkel bermesin</v>
      </c>
      <c r="E1100" s="333"/>
      <c r="F1100" s="333"/>
      <c r="G1100" s="333"/>
      <c r="H1100" s="333"/>
      <c r="I1100" s="333"/>
      <c r="J1100" s="333"/>
      <c r="K1100" s="333"/>
      <c r="L1100" s="333"/>
      <c r="M1100" s="333"/>
      <c r="N1100" s="333"/>
      <c r="O1100" s="333"/>
      <c r="P1100" s="334"/>
      <c r="Q1100" s="819">
        <f>'[1]4.NERACA'!I81</f>
        <v>52870393</v>
      </c>
      <c r="R1100" s="820"/>
      <c r="S1100" s="820"/>
      <c r="T1100" s="820"/>
      <c r="U1100" s="821"/>
      <c r="V1100" s="27"/>
    </row>
    <row r="1101" spans="1:22" s="20" customFormat="1" ht="26.25" customHeight="1">
      <c r="A1101" s="782"/>
      <c r="B1101" s="817">
        <f t="shared" si="26"/>
        <v>6</v>
      </c>
      <c r="C1101" s="818"/>
      <c r="D1101" s="332" t="str">
        <f>'[1]4.NERACA'!C82</f>
        <v>Alat Bengkel tak bermesin</v>
      </c>
      <c r="E1101" s="333"/>
      <c r="F1101" s="333"/>
      <c r="G1101" s="333"/>
      <c r="H1101" s="333"/>
      <c r="I1101" s="333"/>
      <c r="J1101" s="333"/>
      <c r="K1101" s="333"/>
      <c r="L1101" s="333"/>
      <c r="M1101" s="333"/>
      <c r="N1101" s="333"/>
      <c r="O1101" s="333"/>
      <c r="P1101" s="334"/>
      <c r="Q1101" s="148">
        <f>'[1]4.NERACA'!I82</f>
        <v>2800000</v>
      </c>
      <c r="R1101" s="149"/>
      <c r="S1101" s="149"/>
      <c r="T1101" s="149"/>
      <c r="U1101" s="150"/>
      <c r="V1101" s="27"/>
    </row>
    <row r="1102" spans="1:22" s="20" customFormat="1" ht="18.75" customHeight="1">
      <c r="A1102" s="782"/>
      <c r="B1102" s="817">
        <f t="shared" si="26"/>
        <v>7</v>
      </c>
      <c r="C1102" s="818"/>
      <c r="D1102" s="332" t="str">
        <f>'[1]4.NERACA'!C83</f>
        <v>Alat Ukur</v>
      </c>
      <c r="E1102" s="333"/>
      <c r="F1102" s="333"/>
      <c r="G1102" s="333"/>
      <c r="H1102" s="333"/>
      <c r="I1102" s="333"/>
      <c r="J1102" s="333"/>
      <c r="K1102" s="333"/>
      <c r="L1102" s="333"/>
      <c r="M1102" s="333"/>
      <c r="N1102" s="333"/>
      <c r="O1102" s="333"/>
      <c r="P1102" s="334"/>
      <c r="Q1102" s="148">
        <f>'[1]4.NERACA'!I83</f>
        <v>89850812</v>
      </c>
      <c r="R1102" s="149"/>
      <c r="S1102" s="149"/>
      <c r="T1102" s="149"/>
      <c r="U1102" s="150"/>
      <c r="V1102" s="27"/>
    </row>
    <row r="1103" spans="1:22" s="20" customFormat="1" ht="18.75" customHeight="1">
      <c r="A1103" s="782"/>
      <c r="B1103" s="817">
        <f t="shared" si="26"/>
        <v>8</v>
      </c>
      <c r="C1103" s="818"/>
      <c r="D1103" s="332" t="str">
        <f>'[1]4.NERACA'!C84</f>
        <v>Alat Pengolahan</v>
      </c>
      <c r="E1103" s="333"/>
      <c r="F1103" s="333"/>
      <c r="G1103" s="333"/>
      <c r="H1103" s="333"/>
      <c r="I1103" s="333"/>
      <c r="J1103" s="333"/>
      <c r="K1103" s="333"/>
      <c r="L1103" s="333"/>
      <c r="M1103" s="333"/>
      <c r="N1103" s="333"/>
      <c r="O1103" s="333"/>
      <c r="P1103" s="334"/>
      <c r="Q1103" s="148">
        <f>'[1]4.NERACA'!I84</f>
        <v>0</v>
      </c>
      <c r="R1103" s="149"/>
      <c r="S1103" s="149"/>
      <c r="T1103" s="149"/>
      <c r="U1103" s="150"/>
      <c r="V1103" s="27"/>
    </row>
    <row r="1104" spans="1:22" s="20" customFormat="1" ht="18.75" customHeight="1">
      <c r="A1104" s="782"/>
      <c r="B1104" s="817">
        <f t="shared" si="26"/>
        <v>9</v>
      </c>
      <c r="C1104" s="818"/>
      <c r="D1104" s="822" t="str">
        <f>'[1]4.NERACA'!C85</f>
        <v>Alat Kantor</v>
      </c>
      <c r="E1104" s="823"/>
      <c r="F1104" s="823"/>
      <c r="G1104" s="823"/>
      <c r="H1104" s="823"/>
      <c r="I1104" s="823"/>
      <c r="J1104" s="823"/>
      <c r="K1104" s="823"/>
      <c r="L1104" s="823"/>
      <c r="M1104" s="823"/>
      <c r="N1104" s="823"/>
      <c r="O1104" s="823"/>
      <c r="P1104" s="824"/>
      <c r="Q1104" s="148">
        <f>'[1]4.NERACA'!I85</f>
        <v>61128167</v>
      </c>
      <c r="R1104" s="149"/>
      <c r="S1104" s="149"/>
      <c r="T1104" s="149"/>
      <c r="U1104" s="150"/>
      <c r="V1104" s="27"/>
    </row>
    <row r="1105" spans="1:30" s="20" customFormat="1" ht="18.75" customHeight="1">
      <c r="A1105" s="782"/>
      <c r="B1105" s="817">
        <f t="shared" si="26"/>
        <v>10</v>
      </c>
      <c r="C1105" s="818"/>
      <c r="D1105" s="332" t="str">
        <f>'[1]4.NERACA'!C86</f>
        <v>Alat Rumah Tangga</v>
      </c>
      <c r="E1105" s="333"/>
      <c r="F1105" s="333"/>
      <c r="G1105" s="333"/>
      <c r="H1105" s="333"/>
      <c r="I1105" s="333"/>
      <c r="J1105" s="333"/>
      <c r="K1105" s="333"/>
      <c r="L1105" s="333"/>
      <c r="M1105" s="333"/>
      <c r="N1105" s="333"/>
      <c r="O1105" s="333"/>
      <c r="P1105" s="334"/>
      <c r="Q1105" s="148">
        <f>'[1]4.NERACA'!I86</f>
        <v>409700300</v>
      </c>
      <c r="R1105" s="149"/>
      <c r="S1105" s="149"/>
      <c r="T1105" s="149"/>
      <c r="U1105" s="150"/>
      <c r="V1105" s="27"/>
    </row>
    <row r="1106" spans="1:30" s="20" customFormat="1" ht="26.25" customHeight="1">
      <c r="A1106" s="782"/>
      <c r="B1106" s="817">
        <f t="shared" si="26"/>
        <v>11</v>
      </c>
      <c r="C1106" s="818"/>
      <c r="D1106" s="332" t="str">
        <f>'[1]4.NERACA'!C87</f>
        <v>Komputer</v>
      </c>
      <c r="E1106" s="333"/>
      <c r="F1106" s="333"/>
      <c r="G1106" s="333"/>
      <c r="H1106" s="333"/>
      <c r="I1106" s="333"/>
      <c r="J1106" s="333"/>
      <c r="K1106" s="333"/>
      <c r="L1106" s="333"/>
      <c r="M1106" s="333"/>
      <c r="N1106" s="333"/>
      <c r="O1106" s="333"/>
      <c r="P1106" s="334"/>
      <c r="Q1106" s="148">
        <f>'[1]4.NERACA'!I87</f>
        <v>531392530</v>
      </c>
      <c r="R1106" s="149"/>
      <c r="S1106" s="149"/>
      <c r="T1106" s="149"/>
      <c r="U1106" s="150"/>
      <c r="V1106" s="27"/>
    </row>
    <row r="1107" spans="1:30" s="20" customFormat="1" ht="18.75" customHeight="1">
      <c r="A1107" s="782"/>
      <c r="B1107" s="817">
        <f t="shared" si="26"/>
        <v>12</v>
      </c>
      <c r="C1107" s="818"/>
      <c r="D1107" s="332" t="str">
        <f>'[1]4.NERACA'!C88</f>
        <v>Meja Dan Kursi Kerja/Rapat Pejabat</v>
      </c>
      <c r="E1107" s="333"/>
      <c r="F1107" s="333"/>
      <c r="G1107" s="333"/>
      <c r="H1107" s="333"/>
      <c r="I1107" s="333"/>
      <c r="J1107" s="333"/>
      <c r="K1107" s="333"/>
      <c r="L1107" s="333"/>
      <c r="M1107" s="333"/>
      <c r="N1107" s="333"/>
      <c r="O1107" s="333"/>
      <c r="P1107" s="334"/>
      <c r="Q1107" s="148">
        <f>'[1]4.NERACA'!I88</f>
        <v>105632217</v>
      </c>
      <c r="R1107" s="149"/>
      <c r="S1107" s="149"/>
      <c r="T1107" s="149"/>
      <c r="U1107" s="150"/>
      <c r="V1107" s="27"/>
    </row>
    <row r="1108" spans="1:30" s="20" customFormat="1" ht="18.75" customHeight="1">
      <c r="A1108" s="782"/>
      <c r="B1108" s="817">
        <f t="shared" si="26"/>
        <v>13</v>
      </c>
      <c r="C1108" s="818"/>
      <c r="D1108" s="332" t="str">
        <f>'[1]4.NERACA'!C89</f>
        <v>Alat Studio</v>
      </c>
      <c r="E1108" s="333"/>
      <c r="F1108" s="333"/>
      <c r="G1108" s="333"/>
      <c r="H1108" s="333"/>
      <c r="I1108" s="333"/>
      <c r="J1108" s="333"/>
      <c r="K1108" s="333"/>
      <c r="L1108" s="333"/>
      <c r="M1108" s="333"/>
      <c r="N1108" s="333"/>
      <c r="O1108" s="333"/>
      <c r="P1108" s="334"/>
      <c r="Q1108" s="148">
        <f>'[1]4.NERACA'!I89</f>
        <v>152913232</v>
      </c>
      <c r="R1108" s="149"/>
      <c r="S1108" s="149"/>
      <c r="T1108" s="149"/>
      <c r="U1108" s="150"/>
      <c r="V1108" s="27"/>
    </row>
    <row r="1109" spans="1:30" s="20" customFormat="1" ht="15" customHeight="1">
      <c r="A1109" s="782"/>
      <c r="B1109" s="817">
        <f t="shared" si="26"/>
        <v>14</v>
      </c>
      <c r="C1109" s="818"/>
      <c r="D1109" s="332" t="str">
        <f>'[1]4.NERACA'!C90</f>
        <v>Alat Komunikasi</v>
      </c>
      <c r="E1109" s="333"/>
      <c r="F1109" s="333"/>
      <c r="G1109" s="333"/>
      <c r="H1109" s="333"/>
      <c r="I1109" s="333"/>
      <c r="J1109" s="333"/>
      <c r="K1109" s="333"/>
      <c r="L1109" s="333"/>
      <c r="M1109" s="333"/>
      <c r="N1109" s="333"/>
      <c r="O1109" s="333"/>
      <c r="P1109" s="334"/>
      <c r="Q1109" s="148">
        <f>'[1]4.NERACA'!I90</f>
        <v>750000</v>
      </c>
      <c r="R1109" s="149"/>
      <c r="S1109" s="149"/>
      <c r="T1109" s="149"/>
      <c r="U1109" s="150"/>
      <c r="V1109" s="27"/>
    </row>
    <row r="1110" spans="1:30" s="20" customFormat="1" ht="15" customHeight="1">
      <c r="A1110" s="782"/>
      <c r="B1110" s="817">
        <f t="shared" si="26"/>
        <v>15</v>
      </c>
      <c r="C1110" s="818"/>
      <c r="D1110" s="332" t="str">
        <f>'[1]4.NERACA'!C94</f>
        <v>Unit-Unit Laboratorium</v>
      </c>
      <c r="E1110" s="333"/>
      <c r="F1110" s="333"/>
      <c r="G1110" s="333"/>
      <c r="H1110" s="333"/>
      <c r="I1110" s="333"/>
      <c r="J1110" s="333"/>
      <c r="K1110" s="333"/>
      <c r="L1110" s="333"/>
      <c r="M1110" s="333"/>
      <c r="N1110" s="333"/>
      <c r="O1110" s="333"/>
      <c r="P1110" s="334"/>
      <c r="Q1110" s="148">
        <f>'[1]4.NERACA'!I94</f>
        <v>359748688</v>
      </c>
      <c r="R1110" s="149"/>
      <c r="S1110" s="149"/>
      <c r="T1110" s="149"/>
      <c r="U1110" s="150"/>
      <c r="V1110" s="27"/>
    </row>
    <row r="1111" spans="1:30" s="20" customFormat="1" ht="15" customHeight="1">
      <c r="A1111" s="782"/>
      <c r="B1111" s="817">
        <f t="shared" si="26"/>
        <v>16</v>
      </c>
      <c r="C1111" s="818"/>
      <c r="D1111" s="332" t="str">
        <f>'[1]4.NERACA'!C95</f>
        <v>Alat Peraga/Praktek Sekolah</v>
      </c>
      <c r="E1111" s="333"/>
      <c r="F1111" s="333"/>
      <c r="G1111" s="333"/>
      <c r="H1111" s="333"/>
      <c r="I1111" s="333"/>
      <c r="J1111" s="333"/>
      <c r="K1111" s="333"/>
      <c r="L1111" s="333"/>
      <c r="M1111" s="333"/>
      <c r="N1111" s="333"/>
      <c r="O1111" s="333"/>
      <c r="P1111" s="334"/>
      <c r="Q1111" s="148">
        <f>'[1]4.NERACA'!I95</f>
        <v>0</v>
      </c>
      <c r="R1111" s="149"/>
      <c r="S1111" s="149"/>
      <c r="T1111" s="149"/>
      <c r="U1111" s="150"/>
      <c r="V1111" s="27"/>
    </row>
    <row r="1112" spans="1:30" s="20" customFormat="1" ht="24" customHeight="1">
      <c r="A1112" s="782"/>
      <c r="B1112" s="817">
        <f t="shared" si="26"/>
        <v>17</v>
      </c>
      <c r="C1112" s="818"/>
      <c r="D1112" s="332" t="str">
        <f>'[1]4.NERACA'!C96</f>
        <v>Unit Alat Laboratorium Kimia Nuklir</v>
      </c>
      <c r="E1112" s="333"/>
      <c r="F1112" s="333"/>
      <c r="G1112" s="333"/>
      <c r="H1112" s="333"/>
      <c r="I1112" s="333"/>
      <c r="J1112" s="333"/>
      <c r="K1112" s="333"/>
      <c r="L1112" s="333"/>
      <c r="M1112" s="333"/>
      <c r="N1112" s="333"/>
      <c r="O1112" s="333"/>
      <c r="P1112" s="334"/>
      <c r="Q1112" s="148">
        <f>'[1]4.NERACA'!I96</f>
        <v>0</v>
      </c>
      <c r="R1112" s="149"/>
      <c r="S1112" s="149"/>
      <c r="T1112" s="149"/>
      <c r="U1112" s="150"/>
      <c r="V1112" s="27"/>
    </row>
    <row r="1113" spans="1:30" s="20" customFormat="1" ht="23.25" customHeight="1">
      <c r="A1113" s="782"/>
      <c r="B1113" s="817">
        <f>B1112+1</f>
        <v>18</v>
      </c>
      <c r="C1113" s="818"/>
      <c r="D1113" s="332" t="str">
        <f>'[1]4.NERACA'!C97</f>
        <v>Alat Laboratorium Fisila Nuklir / Elektronila</v>
      </c>
      <c r="E1113" s="333"/>
      <c r="F1113" s="333"/>
      <c r="G1113" s="333"/>
      <c r="H1113" s="333"/>
      <c r="I1113" s="333"/>
      <c r="J1113" s="333"/>
      <c r="K1113" s="333"/>
      <c r="L1113" s="333"/>
      <c r="M1113" s="333"/>
      <c r="N1113" s="333"/>
      <c r="O1113" s="333"/>
      <c r="P1113" s="334"/>
      <c r="Q1113" s="148">
        <f>'[1]4.NERACA'!I97</f>
        <v>0</v>
      </c>
      <c r="R1113" s="149"/>
      <c r="S1113" s="149"/>
      <c r="T1113" s="149"/>
      <c r="U1113" s="150"/>
      <c r="V1113" s="27"/>
    </row>
    <row r="1114" spans="1:30" s="20" customFormat="1" ht="25.5" customHeight="1">
      <c r="A1114" s="782"/>
      <c r="B1114" s="817">
        <f>B1113+1</f>
        <v>19</v>
      </c>
      <c r="C1114" s="818"/>
      <c r="D1114" s="332" t="str">
        <f>'[1]4.NERACA'!C98</f>
        <v>Alat Proteksi Radiasi / Proteksi Lingkungan</v>
      </c>
      <c r="E1114" s="333"/>
      <c r="F1114" s="333"/>
      <c r="G1114" s="333"/>
      <c r="H1114" s="333"/>
      <c r="I1114" s="333"/>
      <c r="J1114" s="333"/>
      <c r="K1114" s="333"/>
      <c r="L1114" s="333"/>
      <c r="M1114" s="333"/>
      <c r="N1114" s="333"/>
      <c r="O1114" s="333"/>
      <c r="P1114" s="334"/>
      <c r="Q1114" s="148">
        <f>'[1]4.NERACA'!I98</f>
        <v>0</v>
      </c>
      <c r="R1114" s="149"/>
      <c r="S1114" s="149"/>
      <c r="T1114" s="149"/>
      <c r="U1114" s="150"/>
      <c r="V1114" s="27"/>
    </row>
    <row r="1115" spans="1:30" s="20" customFormat="1" ht="25.5" customHeight="1">
      <c r="A1115" s="782"/>
      <c r="B1115" s="817">
        <f>B1114+1</f>
        <v>20</v>
      </c>
      <c r="C1115" s="818"/>
      <c r="D1115" s="332" t="str">
        <f>'[1]4.NERACA'!C99</f>
        <v>Radiation Aplication and Non Destructive Testing Laboratory (BATAM)</v>
      </c>
      <c r="E1115" s="333"/>
      <c r="F1115" s="333"/>
      <c r="G1115" s="333"/>
      <c r="H1115" s="333"/>
      <c r="I1115" s="333"/>
      <c r="J1115" s="333"/>
      <c r="K1115" s="333"/>
      <c r="L1115" s="333"/>
      <c r="M1115" s="333"/>
      <c r="N1115" s="333"/>
      <c r="O1115" s="333"/>
      <c r="P1115" s="334"/>
      <c r="Q1115" s="148">
        <f>'[1]4.NERACA'!I99</f>
        <v>0</v>
      </c>
      <c r="R1115" s="149"/>
      <c r="S1115" s="149"/>
      <c r="T1115" s="149"/>
      <c r="U1115" s="150"/>
      <c r="V1115" s="27"/>
    </row>
    <row r="1116" spans="1:30" s="20" customFormat="1" ht="28.5" customHeight="1">
      <c r="A1116" s="782"/>
      <c r="B1116" s="817">
        <f t="shared" si="26"/>
        <v>21</v>
      </c>
      <c r="C1116" s="818"/>
      <c r="D1116" s="332" t="str">
        <f>'[1]4.NERACA'!C100</f>
        <v>Alat Laboratorium Lingkungan Hidup</v>
      </c>
      <c r="E1116" s="333"/>
      <c r="F1116" s="333"/>
      <c r="G1116" s="333"/>
      <c r="H1116" s="333"/>
      <c r="I1116" s="333"/>
      <c r="J1116" s="333"/>
      <c r="K1116" s="333"/>
      <c r="L1116" s="333"/>
      <c r="M1116" s="333"/>
      <c r="N1116" s="333"/>
      <c r="O1116" s="333"/>
      <c r="P1116" s="334"/>
      <c r="Q1116" s="148">
        <f>'[1]4.NERACA'!I100</f>
        <v>0</v>
      </c>
      <c r="R1116" s="149"/>
      <c r="S1116" s="149"/>
      <c r="T1116" s="149"/>
      <c r="U1116" s="150"/>
      <c r="V1116" s="27"/>
    </row>
    <row r="1117" spans="1:30" s="20" customFormat="1" ht="15" customHeight="1">
      <c r="A1117" s="782"/>
      <c r="B1117" s="817">
        <f t="shared" si="26"/>
        <v>22</v>
      </c>
      <c r="C1117" s="818"/>
      <c r="D1117" s="332" t="str">
        <f>'[1]4.NERACA'!C101</f>
        <v>Alat Keamanan dan Perlindungan</v>
      </c>
      <c r="E1117" s="333"/>
      <c r="F1117" s="333"/>
      <c r="G1117" s="333"/>
      <c r="H1117" s="333"/>
      <c r="I1117" s="333"/>
      <c r="J1117" s="333"/>
      <c r="K1117" s="333"/>
      <c r="L1117" s="333"/>
      <c r="M1117" s="333"/>
      <c r="N1117" s="333"/>
      <c r="O1117" s="333"/>
      <c r="P1117" s="334"/>
      <c r="Q1117" s="148">
        <f>'[1]4.NERACA'!I101</f>
        <v>20121583</v>
      </c>
      <c r="R1117" s="149"/>
      <c r="S1117" s="149"/>
      <c r="T1117" s="149"/>
      <c r="U1117" s="150"/>
      <c r="V1117" s="825"/>
      <c r="W1117" s="826"/>
      <c r="X1117" s="826"/>
      <c r="Y1117" s="826"/>
      <c r="Z1117" s="826"/>
      <c r="AA1117" s="826"/>
      <c r="AB1117" s="826"/>
      <c r="AC1117" s="826"/>
      <c r="AD1117" s="826"/>
    </row>
    <row r="1118" spans="1:30" s="20" customFormat="1" ht="22.5" customHeight="1">
      <c r="A1118" s="782"/>
      <c r="B1118" s="657" t="s">
        <v>143</v>
      </c>
      <c r="C1118" s="658"/>
      <c r="D1118" s="658"/>
      <c r="E1118" s="658"/>
      <c r="F1118" s="658"/>
      <c r="G1118" s="658"/>
      <c r="H1118" s="658"/>
      <c r="I1118" s="658"/>
      <c r="J1118" s="658"/>
      <c r="K1118" s="658"/>
      <c r="L1118" s="658"/>
      <c r="M1118" s="658"/>
      <c r="N1118" s="658"/>
      <c r="O1118" s="658"/>
      <c r="P1118" s="659"/>
      <c r="Q1118" s="827">
        <f>SUM(Q1096:U1117)</f>
        <v>10668719670</v>
      </c>
      <c r="R1118" s="828"/>
      <c r="S1118" s="828"/>
      <c r="T1118" s="828"/>
      <c r="U1118" s="829"/>
      <c r="V1118" s="27"/>
    </row>
    <row r="1119" spans="1:30" s="20" customFormat="1" ht="11.25" customHeight="1">
      <c r="A1119" s="830"/>
      <c r="B1119" s="126"/>
      <c r="C1119" s="126"/>
      <c r="D1119" s="126"/>
      <c r="E1119" s="126"/>
      <c r="F1119" s="126"/>
      <c r="G1119" s="126"/>
      <c r="H1119" s="126"/>
      <c r="I1119" s="126"/>
      <c r="J1119" s="126"/>
      <c r="K1119" s="126"/>
      <c r="L1119" s="126"/>
      <c r="M1119" s="126"/>
      <c r="N1119" s="126"/>
      <c r="O1119" s="126"/>
      <c r="P1119" s="126"/>
      <c r="Q1119" s="442"/>
      <c r="R1119" s="442"/>
      <c r="S1119" s="442"/>
      <c r="T1119" s="442"/>
      <c r="U1119" s="442"/>
      <c r="V1119" s="27"/>
    </row>
    <row r="1120" spans="1:30" s="20" customFormat="1" ht="24.75" customHeight="1">
      <c r="A1120" s="831"/>
      <c r="B1120" s="832" t="s">
        <v>165</v>
      </c>
      <c r="C1120" s="725" t="s">
        <v>256</v>
      </c>
      <c r="D1120" s="725"/>
      <c r="E1120" s="725"/>
      <c r="F1120" s="725"/>
      <c r="G1120" s="725"/>
      <c r="H1120" s="725"/>
      <c r="I1120" s="725"/>
      <c r="J1120" s="725"/>
      <c r="K1120" s="725"/>
      <c r="L1120" s="725"/>
      <c r="M1120" s="725"/>
      <c r="N1120" s="725"/>
      <c r="O1120" s="725"/>
      <c r="P1120" s="725"/>
      <c r="Q1120" s="725"/>
      <c r="R1120" s="725"/>
      <c r="S1120" s="725"/>
      <c r="T1120" s="725"/>
      <c r="U1120" s="725"/>
      <c r="V1120" s="27"/>
    </row>
    <row r="1121" spans="1:32" s="20" customFormat="1" ht="81.75" customHeight="1">
      <c r="A1121" s="831"/>
      <c r="C1121" s="313" t="str">
        <f>"Nilai Gedung dan Bangunan per "&amp;'[1]2.ISIAN DATA SKPD'!D8&amp;" dan "&amp;'[1]2.ISIAN DATA SKPD'!D12&amp;" adalah Rp. "&amp;FIXED(R1125)&amp;" dan Rp. "&amp;FIXED(B1125)&amp;" mengalami kenaikan sebesar Rp. "&amp;FIXED(AC1125)&amp;" atau sebesar "&amp;FIXED(Y1125)&amp;"% dari tahun "&amp;'[1]2.ISIAN DATA SKPD'!D12&amp;".  Mutasi transaksi terhadap Gedung dan Bangunan pada tanggal pelaporan adalah sebagai berikut:"</f>
        <v>Nilai Gedung dan Bangunan per 31 Desember 2017 dan 2016 adalah Rp. 11,206,825,886.00 dan Rp. 8,705,891,186.00 mengalami kenaikan sebesar Rp. 2,500,934,700.00 atau sebesar 28.73% dari tahun 2016.  Mutasi transaksi terhadap Gedung dan Bangunan pada tanggal pelaporan adalah sebagai berikut:</v>
      </c>
      <c r="D1121" s="313"/>
      <c r="E1121" s="313"/>
      <c r="F1121" s="313"/>
      <c r="G1121" s="313"/>
      <c r="H1121" s="313"/>
      <c r="I1121" s="313"/>
      <c r="J1121" s="313"/>
      <c r="K1121" s="313"/>
      <c r="L1121" s="313"/>
      <c r="M1121" s="313"/>
      <c r="N1121" s="313"/>
      <c r="O1121" s="313"/>
      <c r="P1121" s="313"/>
      <c r="Q1121" s="313"/>
      <c r="R1121" s="313"/>
      <c r="S1121" s="313"/>
      <c r="T1121" s="313"/>
      <c r="U1121" s="313"/>
      <c r="V1121" s="27"/>
    </row>
    <row r="1122" spans="1:32" s="20" customFormat="1" ht="15" customHeight="1">
      <c r="A1122" s="833"/>
      <c r="C1122" s="285"/>
      <c r="D1122" s="285"/>
      <c r="E1122" s="285"/>
      <c r="F1122" s="285"/>
      <c r="G1122" s="285"/>
      <c r="H1122" s="285"/>
      <c r="I1122" s="285"/>
      <c r="J1122" s="285"/>
      <c r="K1122" s="285"/>
      <c r="L1122" s="285"/>
      <c r="M1122" s="285"/>
      <c r="N1122" s="285"/>
      <c r="O1122" s="285"/>
      <c r="P1122" s="285"/>
      <c r="Q1122" s="285"/>
      <c r="R1122" s="285"/>
      <c r="S1122" s="285"/>
      <c r="T1122" s="285"/>
      <c r="U1122" s="285"/>
      <c r="V1122" s="27"/>
    </row>
    <row r="1123" spans="1:32" s="20" customFormat="1" ht="20.25" customHeight="1">
      <c r="A1123" s="726" t="s">
        <v>84</v>
      </c>
      <c r="B1123" s="573" t="s">
        <v>411</v>
      </c>
      <c r="C1123" s="457"/>
      <c r="D1123" s="457"/>
      <c r="E1123" s="458"/>
      <c r="F1123" s="786" t="s">
        <v>412</v>
      </c>
      <c r="G1123" s="786"/>
      <c r="H1123" s="786"/>
      <c r="I1123" s="786"/>
      <c r="J1123" s="786"/>
      <c r="K1123" s="786"/>
      <c r="L1123" s="786" t="s">
        <v>413</v>
      </c>
      <c r="M1123" s="786"/>
      <c r="N1123" s="786"/>
      <c r="O1123" s="786"/>
      <c r="P1123" s="786"/>
      <c r="Q1123" s="786"/>
      <c r="R1123" s="99" t="s">
        <v>414</v>
      </c>
      <c r="S1123" s="99"/>
      <c r="T1123" s="99"/>
      <c r="U1123" s="99"/>
      <c r="V1123" s="27"/>
    </row>
    <row r="1124" spans="1:32" s="20" customFormat="1" ht="30" customHeight="1">
      <c r="A1124" s="732"/>
      <c r="B1124" s="834">
        <f>B1085</f>
        <v>2017</v>
      </c>
      <c r="C1124" s="835"/>
      <c r="D1124" s="835"/>
      <c r="E1124" s="836"/>
      <c r="F1124" s="99" t="s">
        <v>415</v>
      </c>
      <c r="G1124" s="99"/>
      <c r="H1124" s="99"/>
      <c r="I1124" s="99" t="s">
        <v>416</v>
      </c>
      <c r="J1124" s="99"/>
      <c r="K1124" s="99"/>
      <c r="L1124" s="99" t="s">
        <v>415</v>
      </c>
      <c r="M1124" s="99"/>
      <c r="N1124" s="99"/>
      <c r="O1124" s="790" t="s">
        <v>416</v>
      </c>
      <c r="P1124" s="790"/>
      <c r="Q1124" s="790"/>
      <c r="R1124" s="776">
        <f>R1085</f>
        <v>2017</v>
      </c>
      <c r="S1124" s="791"/>
      <c r="T1124" s="791"/>
      <c r="U1124" s="792"/>
      <c r="V1124" s="804"/>
      <c r="W1124" s="805"/>
      <c r="X1124" s="805"/>
      <c r="Y1124" s="208" t="s">
        <v>417</v>
      </c>
      <c r="Z1124" s="805"/>
      <c r="AA1124" s="805"/>
      <c r="AB1124" s="805"/>
      <c r="AC1124" s="712" t="s">
        <v>404</v>
      </c>
      <c r="AD1124" s="713"/>
      <c r="AE1124" s="713"/>
      <c r="AF1124" s="806"/>
    </row>
    <row r="1125" spans="1:32" s="20" customFormat="1" ht="63.75" customHeight="1">
      <c r="A1125" s="746" t="str">
        <f>C1120</f>
        <v>Gedung dan Bangunan</v>
      </c>
      <c r="B1125" s="837">
        <f>[2]NR!$C$177</f>
        <v>8705891186</v>
      </c>
      <c r="C1125" s="838"/>
      <c r="D1125" s="838"/>
      <c r="E1125" s="839"/>
      <c r="F1125" s="840">
        <f>[2]NR!$D$177</f>
        <v>2208123923</v>
      </c>
      <c r="G1125" s="840"/>
      <c r="H1125" s="840"/>
      <c r="I1125" s="841">
        <f>[2]NR!$E$177</f>
        <v>197989423</v>
      </c>
      <c r="J1125" s="841"/>
      <c r="K1125" s="841"/>
      <c r="L1125" s="841">
        <f>[2]NR!$F$177</f>
        <v>688904500</v>
      </c>
      <c r="M1125" s="841"/>
      <c r="N1125" s="841"/>
      <c r="O1125" s="841">
        <f>[2]NR!$G$177</f>
        <v>198104300</v>
      </c>
      <c r="P1125" s="841"/>
      <c r="Q1125" s="841"/>
      <c r="R1125" s="841">
        <f>B1125+F1125-I1125+L1125-O1125</f>
        <v>11206825886</v>
      </c>
      <c r="S1125" s="841"/>
      <c r="T1125" s="841"/>
      <c r="U1125" s="841"/>
      <c r="V1125" s="808"/>
      <c r="W1125" s="805"/>
      <c r="X1125" s="805"/>
      <c r="Y1125" s="208">
        <f>(R1125-B1125)/B1125*100</f>
        <v>28.726923488565642</v>
      </c>
      <c r="Z1125" s="805"/>
      <c r="AA1125" s="805"/>
      <c r="AB1125" s="805"/>
      <c r="AC1125" s="451">
        <f>R1125-B1125</f>
        <v>2500934700</v>
      </c>
      <c r="AD1125" s="452"/>
      <c r="AE1125" s="452"/>
      <c r="AF1125" s="453"/>
    </row>
    <row r="1126" spans="1:32" s="20" customFormat="1" ht="27.75" customHeight="1">
      <c r="A1126" s="14"/>
      <c r="B1126" s="842" t="s">
        <v>418</v>
      </c>
      <c r="C1126" s="842"/>
      <c r="D1126" s="842"/>
      <c r="E1126" s="842"/>
      <c r="F1126" s="842"/>
      <c r="G1126" s="842"/>
      <c r="H1126" s="842"/>
      <c r="I1126" s="842"/>
      <c r="J1126" s="842"/>
      <c r="K1126" s="842"/>
      <c r="L1126" s="842"/>
      <c r="M1126" s="842"/>
      <c r="N1126" s="843"/>
      <c r="O1126" s="843"/>
      <c r="P1126" s="843"/>
      <c r="Q1126" s="843"/>
      <c r="R1126" s="843"/>
      <c r="S1126" s="843"/>
      <c r="T1126" s="843"/>
      <c r="U1126" s="843"/>
      <c r="V1126" s="27"/>
    </row>
    <row r="1127" spans="1:32" s="20" customFormat="1" ht="25.5" customHeight="1">
      <c r="A1127" s="14"/>
      <c r="B1127" s="774" t="s">
        <v>119</v>
      </c>
      <c r="C1127" s="775" t="str">
        <f>'[1]4.NERACA'!C103</f>
        <v>Bangunan Gedung Tempat Kerja</v>
      </c>
      <c r="D1127" s="775"/>
      <c r="E1127" s="775"/>
      <c r="F1127" s="775"/>
      <c r="G1127" s="775"/>
      <c r="H1127" s="775"/>
      <c r="I1127" s="775"/>
      <c r="J1127" s="775"/>
      <c r="K1127" s="775"/>
      <c r="L1127" s="775"/>
      <c r="M1127" s="775"/>
      <c r="N1127" s="775"/>
      <c r="O1127" s="775"/>
      <c r="P1127" s="775"/>
      <c r="Q1127" s="775"/>
      <c r="R1127" s="775"/>
      <c r="S1127" s="775"/>
      <c r="T1127" s="775"/>
      <c r="U1127" s="775"/>
      <c r="V1127" s="27"/>
    </row>
    <row r="1128" spans="1:32" s="20" customFormat="1" ht="64.5" customHeight="1">
      <c r="A1128" s="14"/>
      <c r="C1128" s="313" t="str">
        <f>"Nilai aset tetap berupa Bangunan Gedung Tempat Kerja  per "&amp;'[1]2.ISIAN DATA SKPD'!D8&amp;" dan  "&amp;'[1]2.ISIAN DATA SKPD'!D12&amp;" adalah sebesar Rp. "&amp;FIXED(R1132)&amp;" dan Rp. "&amp;FIXED(B1132)&amp;" mengalami kenaikan sebesar Rp. "&amp;FIXED(AC1132)&amp;" atau sebesar "&amp;FIXED(Y1132)&amp;"% dari tahun "&amp;'[1]2.ISIAN DATA SKPD'!D12&amp;"."</f>
        <v>Nilai aset tetap berupa Bangunan Gedung Tempat Kerja  per 31 Desember 2017 dan  2016 adalah sebesar Rp. 10,602,963,263.00 dan Rp. 8,689,291,186.00 mengalami kenaikan sebesar Rp. 1,913,672,077.00 atau sebesar 22.02% dari tahun 2016.</v>
      </c>
      <c r="D1128" s="313"/>
      <c r="E1128" s="313"/>
      <c r="F1128" s="313"/>
      <c r="G1128" s="313"/>
      <c r="H1128" s="313"/>
      <c r="I1128" s="313"/>
      <c r="J1128" s="313"/>
      <c r="K1128" s="313"/>
      <c r="L1128" s="313"/>
      <c r="M1128" s="313"/>
      <c r="N1128" s="313"/>
      <c r="O1128" s="313"/>
      <c r="P1128" s="313"/>
      <c r="Q1128" s="313"/>
      <c r="R1128" s="313"/>
      <c r="S1128" s="313"/>
      <c r="T1128" s="313"/>
      <c r="U1128" s="313"/>
      <c r="V1128" s="27"/>
    </row>
    <row r="1129" spans="1:32" s="20" customFormat="1" ht="31.5" customHeight="1">
      <c r="A1129" s="14"/>
      <c r="C1129" s="568" t="str">
        <f>"Dengan mutasi  selama tahun "&amp;'[1]2.ISIAN DATA SKPD'!D11&amp;" sebagai berikut :"</f>
        <v>Dengan mutasi  selama tahun 2017 sebagai berikut :</v>
      </c>
      <c r="D1129" s="568"/>
      <c r="E1129" s="568"/>
      <c r="F1129" s="568"/>
      <c r="G1129" s="568"/>
      <c r="H1129" s="568"/>
      <c r="I1129" s="568"/>
      <c r="J1129" s="568"/>
      <c r="K1129" s="568"/>
      <c r="L1129" s="568"/>
      <c r="M1129" s="568"/>
      <c r="N1129" s="568"/>
      <c r="O1129" s="568"/>
      <c r="P1129" s="568"/>
      <c r="Q1129" s="568"/>
      <c r="R1129" s="568"/>
      <c r="S1129" s="568"/>
      <c r="T1129" s="568"/>
      <c r="U1129" s="568"/>
      <c r="V1129" s="27"/>
    </row>
    <row r="1130" spans="1:32" s="20" customFormat="1" ht="15" customHeight="1">
      <c r="A1130" s="726" t="s">
        <v>84</v>
      </c>
      <c r="B1130" s="727" t="s">
        <v>411</v>
      </c>
      <c r="C1130" s="728"/>
      <c r="D1130" s="728"/>
      <c r="E1130" s="729"/>
      <c r="F1130" s="730" t="s">
        <v>412</v>
      </c>
      <c r="G1130" s="730"/>
      <c r="H1130" s="730"/>
      <c r="I1130" s="730"/>
      <c r="J1130" s="730"/>
      <c r="K1130" s="730"/>
      <c r="L1130" s="730" t="s">
        <v>413</v>
      </c>
      <c r="M1130" s="730"/>
      <c r="N1130" s="730"/>
      <c r="O1130" s="730"/>
      <c r="P1130" s="730"/>
      <c r="Q1130" s="730"/>
      <c r="R1130" s="731" t="s">
        <v>414</v>
      </c>
      <c r="S1130" s="731"/>
      <c r="T1130" s="731"/>
      <c r="U1130" s="731"/>
      <c r="V1130" s="27"/>
    </row>
    <row r="1131" spans="1:32" s="20" customFormat="1" ht="23.25" customHeight="1">
      <c r="A1131" s="732"/>
      <c r="B1131" s="733">
        <f>B1124</f>
        <v>2017</v>
      </c>
      <c r="C1131" s="734"/>
      <c r="D1131" s="734"/>
      <c r="E1131" s="735"/>
      <c r="F1131" s="731" t="s">
        <v>415</v>
      </c>
      <c r="G1131" s="731"/>
      <c r="H1131" s="731"/>
      <c r="I1131" s="731" t="s">
        <v>416</v>
      </c>
      <c r="J1131" s="731"/>
      <c r="K1131" s="731"/>
      <c r="L1131" s="731" t="s">
        <v>415</v>
      </c>
      <c r="M1131" s="731"/>
      <c r="N1131" s="731"/>
      <c r="O1131" s="736" t="s">
        <v>416</v>
      </c>
      <c r="P1131" s="736"/>
      <c r="Q1131" s="736"/>
      <c r="R1131" s="776">
        <f>R1124</f>
        <v>2017</v>
      </c>
      <c r="S1131" s="791"/>
      <c r="T1131" s="791"/>
      <c r="U1131" s="792"/>
      <c r="V1131" s="804"/>
      <c r="W1131" s="805"/>
      <c r="X1131" s="805"/>
      <c r="Y1131" s="208" t="s">
        <v>417</v>
      </c>
      <c r="Z1131" s="805"/>
      <c r="AA1131" s="805"/>
      <c r="AB1131" s="805"/>
      <c r="AC1131" s="712" t="s">
        <v>404</v>
      </c>
      <c r="AD1131" s="713"/>
      <c r="AE1131" s="713"/>
      <c r="AF1131" s="806"/>
    </row>
    <row r="1132" spans="1:32" s="20" customFormat="1" ht="45.75" customHeight="1">
      <c r="A1132" s="844" t="str">
        <f>C1127</f>
        <v>Bangunan Gedung Tempat Kerja</v>
      </c>
      <c r="B1132" s="845">
        <f>'[1]4.NERACA'!D103</f>
        <v>8689291186</v>
      </c>
      <c r="C1132" s="846"/>
      <c r="D1132" s="846"/>
      <c r="E1132" s="847"/>
      <c r="F1132" s="848">
        <f>'[1]4.NERACA'!E103</f>
        <v>1620861300</v>
      </c>
      <c r="G1132" s="849"/>
      <c r="H1132" s="850"/>
      <c r="I1132" s="845">
        <f>'[1]4.NERACA'!F103</f>
        <v>197989423</v>
      </c>
      <c r="J1132" s="846"/>
      <c r="K1132" s="847"/>
      <c r="L1132" s="845">
        <f>'[1]4.NERACA'!G103</f>
        <v>688904500</v>
      </c>
      <c r="M1132" s="846"/>
      <c r="N1132" s="847"/>
      <c r="O1132" s="845">
        <f>'[1]4.NERACA'!H103</f>
        <v>198104300</v>
      </c>
      <c r="P1132" s="846"/>
      <c r="Q1132" s="847"/>
      <c r="R1132" s="845">
        <f>B1132+F1132-I1132+L1132-O1132</f>
        <v>10602963263</v>
      </c>
      <c r="S1132" s="846"/>
      <c r="T1132" s="846"/>
      <c r="U1132" s="847"/>
      <c r="V1132" s="808"/>
      <c r="W1132" s="805"/>
      <c r="X1132" s="805"/>
      <c r="Y1132" s="208">
        <f>(R1132-B1132)/B1132*100</f>
        <v>22.023339257904805</v>
      </c>
      <c r="Z1132" s="805"/>
      <c r="AA1132" s="805"/>
      <c r="AB1132" s="805"/>
      <c r="AC1132" s="451">
        <f>R1132-B1132</f>
        <v>1913672077</v>
      </c>
      <c r="AD1132" s="452"/>
      <c r="AE1132" s="452"/>
      <c r="AF1132" s="453"/>
    </row>
    <row r="1133" spans="1:32" s="20" customFormat="1" ht="21" customHeight="1">
      <c r="A1133" s="782"/>
      <c r="B1133" s="772" t="s">
        <v>436</v>
      </c>
      <c r="C1133" s="772"/>
      <c r="D1133" s="772"/>
      <c r="E1133" s="772"/>
      <c r="F1133" s="772"/>
      <c r="G1133" s="772"/>
      <c r="H1133" s="772"/>
      <c r="I1133" s="772"/>
      <c r="J1133" s="772"/>
      <c r="K1133" s="772"/>
      <c r="L1133" s="772"/>
      <c r="M1133" s="772"/>
      <c r="N1133" s="772"/>
      <c r="O1133" s="772"/>
      <c r="P1133" s="772"/>
      <c r="Q1133" s="772"/>
      <c r="R1133" s="772"/>
      <c r="S1133" s="772"/>
      <c r="T1133" s="772"/>
      <c r="U1133" s="772"/>
      <c r="V1133" s="27"/>
    </row>
    <row r="1134" spans="1:32" s="20" customFormat="1" ht="15" customHeight="1">
      <c r="A1134" s="782"/>
      <c r="B1134" s="442"/>
      <c r="C1134" s="428" t="s">
        <v>428</v>
      </c>
      <c r="D1134" s="428"/>
      <c r="E1134" s="428"/>
      <c r="F1134" s="428"/>
      <c r="G1134" s="428"/>
      <c r="H1134" s="428"/>
      <c r="I1134" s="428"/>
      <c r="J1134" s="428"/>
      <c r="K1134" s="428"/>
      <c r="L1134" s="428"/>
      <c r="M1134" s="428"/>
      <c r="N1134" s="428"/>
      <c r="O1134" s="428"/>
      <c r="P1134" s="428"/>
      <c r="Q1134" s="428"/>
      <c r="R1134" s="428"/>
      <c r="S1134" s="428"/>
      <c r="T1134" s="428"/>
      <c r="U1134" s="428"/>
      <c r="V1134" s="27"/>
    </row>
    <row r="1135" spans="1:32" s="20" customFormat="1" ht="95.25" customHeight="1">
      <c r="A1135" s="851"/>
      <c r="B1135" s="442"/>
      <c r="C1135" s="354" t="str">
        <f>"Mutasi Debet sebesar Rp. "&amp;FIXED(F1132+L1132)&amp;" adalah hasil pengadaan barang tahun "&amp;'[1]2.ISIAN DATA SKPD'!D11&amp;" dari belanja modal berupa bangunan yang akan diserahkan kepada masyarakat  yaitu   bangunan gedung KPU, reklas aset tetap renovasi Rehab sedang/berat gedung UPTD Garung,UPTD Wonosobo,UPTD Sukoharjo dan penataan lingkungan gedung kantor DPUPR"</f>
        <v>Mutasi Debet sebesar Rp. 2,309,765,800.00 adalah hasil pengadaan barang tahun 2017 dari belanja modal berupa bangunan yang akan diserahkan kepada masyarakat  yaitu   bangunan gedung KPU, reklas aset tetap renovasi Rehab sedang/berat gedung UPTD Garung,UPTD Wonosobo,UPTD Sukoharjo dan penataan lingkungan gedung kantor DPUPR</v>
      </c>
      <c r="D1135" s="354"/>
      <c r="E1135" s="354"/>
      <c r="F1135" s="354"/>
      <c r="G1135" s="354"/>
      <c r="H1135" s="354"/>
      <c r="I1135" s="354"/>
      <c r="J1135" s="354"/>
      <c r="K1135" s="354"/>
      <c r="L1135" s="354"/>
      <c r="M1135" s="354"/>
      <c r="N1135" s="354"/>
      <c r="O1135" s="354"/>
      <c r="P1135" s="354"/>
      <c r="Q1135" s="354"/>
      <c r="R1135" s="354"/>
      <c r="S1135" s="354"/>
      <c r="T1135" s="354"/>
      <c r="U1135" s="354"/>
      <c r="V1135" s="27"/>
    </row>
    <row r="1136" spans="1:32" s="20" customFormat="1" ht="26.25" customHeight="1">
      <c r="A1136" s="782"/>
      <c r="B1136" s="442"/>
      <c r="C1136" s="428" t="s">
        <v>430</v>
      </c>
      <c r="D1136" s="428"/>
      <c r="E1136" s="428"/>
      <c r="F1136" s="428"/>
      <c r="G1136" s="428"/>
      <c r="H1136" s="428"/>
      <c r="I1136" s="428"/>
      <c r="J1136" s="428"/>
      <c r="K1136" s="428"/>
      <c r="L1136" s="428"/>
      <c r="M1136" s="428"/>
      <c r="N1136" s="428"/>
      <c r="O1136" s="428"/>
      <c r="P1136" s="428"/>
      <c r="Q1136" s="428"/>
      <c r="R1136" s="428"/>
      <c r="S1136" s="428"/>
      <c r="T1136" s="428"/>
      <c r="U1136" s="428"/>
      <c r="V1136" s="27"/>
    </row>
    <row r="1137" spans="1:40" s="20" customFormat="1" ht="76.5" customHeight="1">
      <c r="A1137" s="782"/>
      <c r="B1137" s="784"/>
      <c r="C1137" s="354" t="str">
        <f>"Mutasi Kredit Rp. "&amp;FIXED(I1132+O1132)&amp;" adalah reklas ke bangunan menara berupa gapura masuk Kantor DPUPR ( penataan lingkungan kantor DPUPR ) senilai Rp.197.989.423,dan mutasi ke bagian Humas berupa penataan lingkungan rumah Dinas wakil Bupati  senilai    Rp 198.104.300,00 "</f>
        <v xml:space="preserve">Mutasi Kredit Rp. 396,093,723.00 adalah reklas ke bangunan menara berupa gapura masuk Kantor DPUPR ( penataan lingkungan kantor DPUPR ) senilai Rp.197.989.423,dan mutasi ke bagian Humas berupa penataan lingkungan rumah Dinas wakil Bupati  senilai    Rp 198.104.300,00 </v>
      </c>
      <c r="D1137" s="354"/>
      <c r="E1137" s="354"/>
      <c r="F1137" s="354"/>
      <c r="G1137" s="354"/>
      <c r="H1137" s="354"/>
      <c r="I1137" s="354"/>
      <c r="J1137" s="354"/>
      <c r="K1137" s="354"/>
      <c r="L1137" s="354"/>
      <c r="M1137" s="354"/>
      <c r="N1137" s="354"/>
      <c r="O1137" s="354"/>
      <c r="P1137" s="354"/>
      <c r="Q1137" s="354"/>
      <c r="R1137" s="354"/>
      <c r="S1137" s="354"/>
      <c r="T1137" s="354"/>
      <c r="U1137" s="354"/>
      <c r="V1137" s="27"/>
    </row>
    <row r="1138" spans="1:40" s="20" customFormat="1" ht="12.75" customHeight="1">
      <c r="A1138" s="14"/>
      <c r="B1138" s="129"/>
      <c r="C1138" s="129"/>
      <c r="D1138" s="129"/>
      <c r="E1138" s="129"/>
      <c r="F1138" s="129"/>
      <c r="G1138" s="129"/>
      <c r="H1138" s="129"/>
      <c r="I1138" s="129"/>
      <c r="J1138" s="129"/>
      <c r="K1138" s="129"/>
      <c r="L1138" s="129"/>
      <c r="M1138" s="129"/>
      <c r="N1138" s="852"/>
      <c r="O1138" s="852"/>
      <c r="P1138" s="852"/>
      <c r="Q1138" s="852"/>
      <c r="R1138" s="852"/>
      <c r="S1138" s="852"/>
      <c r="T1138" s="852"/>
      <c r="U1138" s="852"/>
      <c r="V1138" s="27"/>
    </row>
    <row r="1139" spans="1:40" s="20" customFormat="1" ht="20.25" customHeight="1">
      <c r="A1139" s="14"/>
      <c r="B1139" s="774" t="s">
        <v>112</v>
      </c>
      <c r="C1139" s="775" t="str">
        <f>'[1]4.NERACA'!C104</f>
        <v>Bangunan Gedung Tempat Tinggal</v>
      </c>
      <c r="D1139" s="775"/>
      <c r="E1139" s="775"/>
      <c r="F1139" s="775"/>
      <c r="G1139" s="775"/>
      <c r="H1139" s="775"/>
      <c r="I1139" s="775"/>
      <c r="J1139" s="775"/>
      <c r="K1139" s="775"/>
      <c r="L1139" s="775"/>
      <c r="M1139" s="775"/>
      <c r="N1139" s="775"/>
      <c r="O1139" s="775"/>
      <c r="P1139" s="775"/>
      <c r="Q1139" s="775"/>
      <c r="R1139" s="775"/>
      <c r="S1139" s="775"/>
      <c r="T1139" s="775"/>
      <c r="U1139" s="775"/>
      <c r="V1139" s="27"/>
    </row>
    <row r="1140" spans="1:40" s="20" customFormat="1" ht="65.25" customHeight="1">
      <c r="A1140" s="14"/>
      <c r="C1140" s="313" t="str">
        <f>"Nilai aset tetap berupa "&amp;C1139&amp;"  per "&amp;'[1]2.ISIAN DATA SKPD'!D8&amp;" dan  "&amp;'[1]2.ISIAN DATA SKPD'!D12&amp;" adalah sebesar Rp. "&amp;FIXED(R1145)&amp;" dan Rp. "&amp;FIXED(B1145)&amp;" tidak mengalami kenaikan/penurunan sebesar Rp. "&amp;FIXED(AC1145)&amp;" atau sebesar "&amp;FIXED(Y1145)&amp;"% dari tahun "&amp;'[1]2.ISIAN DATA SKPD'!D12&amp;"."</f>
        <v>Nilai aset tetap berupa Bangunan Gedung Tempat Tinggal  per 31 Desember 2017 dan  2016 adalah sebesar Rp. 16,600,000.00 dan Rp. 16,600,000.00 tidak mengalami kenaikan/penurunan sebesar Rp. 0.00 atau sebesar 0.00% dari tahun 2016.</v>
      </c>
      <c r="D1140" s="313"/>
      <c r="E1140" s="313"/>
      <c r="F1140" s="313"/>
      <c r="G1140" s="313"/>
      <c r="H1140" s="313"/>
      <c r="I1140" s="313"/>
      <c r="J1140" s="313"/>
      <c r="K1140" s="313"/>
      <c r="L1140" s="313"/>
      <c r="M1140" s="313"/>
      <c r="N1140" s="313"/>
      <c r="O1140" s="313"/>
      <c r="P1140" s="313"/>
      <c r="Q1140" s="313"/>
      <c r="R1140" s="313"/>
      <c r="S1140" s="313"/>
      <c r="T1140" s="313"/>
      <c r="U1140" s="313"/>
      <c r="V1140" s="27"/>
    </row>
    <row r="1141" spans="1:40" s="20" customFormat="1" ht="17.25" customHeight="1">
      <c r="A1141" s="14"/>
      <c r="B1141" s="285"/>
      <c r="C1141" s="313" t="str">
        <f>"Dengan mutasi  selama tahun "&amp;'[1]2.ISIAN DATA SKPD'!D11&amp;" sebagai berikut :"</f>
        <v>Dengan mutasi  selama tahun 2017 sebagai berikut :</v>
      </c>
      <c r="D1141" s="313"/>
      <c r="E1141" s="313"/>
      <c r="F1141" s="313"/>
      <c r="G1141" s="313"/>
      <c r="H1141" s="313"/>
      <c r="I1141" s="313"/>
      <c r="J1141" s="313"/>
      <c r="K1141" s="313"/>
      <c r="L1141" s="313"/>
      <c r="M1141" s="313"/>
      <c r="N1141" s="313"/>
      <c r="O1141" s="313"/>
      <c r="P1141" s="313"/>
      <c r="Q1141" s="313"/>
      <c r="R1141" s="313"/>
      <c r="S1141" s="313"/>
      <c r="T1141" s="313"/>
      <c r="U1141" s="313"/>
      <c r="V1141" s="27"/>
    </row>
    <row r="1142" spans="1:40" s="20" customFormat="1" ht="15" customHeight="1">
      <c r="A1142" s="14"/>
      <c r="B1142" s="285"/>
      <c r="C1142" s="285"/>
      <c r="D1142" s="285"/>
      <c r="E1142" s="285"/>
      <c r="F1142" s="285"/>
      <c r="G1142" s="285"/>
      <c r="H1142" s="285"/>
      <c r="I1142" s="285"/>
      <c r="J1142" s="285"/>
      <c r="K1142" s="285"/>
      <c r="L1142" s="285"/>
      <c r="M1142" s="285"/>
      <c r="N1142" s="285"/>
      <c r="O1142" s="285"/>
      <c r="P1142" s="285"/>
      <c r="Q1142" s="285"/>
      <c r="R1142" s="285"/>
      <c r="S1142" s="285"/>
      <c r="T1142" s="285"/>
      <c r="U1142" s="285"/>
      <c r="V1142" s="27"/>
    </row>
    <row r="1143" spans="1:40" s="20" customFormat="1" ht="31.5" customHeight="1">
      <c r="A1143" s="726" t="s">
        <v>84</v>
      </c>
      <c r="B1143" s="727" t="s">
        <v>411</v>
      </c>
      <c r="C1143" s="728"/>
      <c r="D1143" s="728"/>
      <c r="E1143" s="729"/>
      <c r="F1143" s="730" t="s">
        <v>412</v>
      </c>
      <c r="G1143" s="730"/>
      <c r="H1143" s="730"/>
      <c r="I1143" s="730"/>
      <c r="J1143" s="730"/>
      <c r="K1143" s="730"/>
      <c r="L1143" s="730" t="s">
        <v>413</v>
      </c>
      <c r="M1143" s="730"/>
      <c r="N1143" s="730"/>
      <c r="O1143" s="730"/>
      <c r="P1143" s="730"/>
      <c r="Q1143" s="730"/>
      <c r="R1143" s="731" t="s">
        <v>414</v>
      </c>
      <c r="S1143" s="731"/>
      <c r="T1143" s="731"/>
      <c r="U1143" s="731"/>
      <c r="V1143" s="27"/>
    </row>
    <row r="1144" spans="1:40" s="20" customFormat="1" ht="20.25" customHeight="1">
      <c r="A1144" s="732"/>
      <c r="B1144" s="733">
        <f>B1131</f>
        <v>2017</v>
      </c>
      <c r="C1144" s="734"/>
      <c r="D1144" s="734"/>
      <c r="E1144" s="735"/>
      <c r="F1144" s="731" t="s">
        <v>415</v>
      </c>
      <c r="G1144" s="731"/>
      <c r="H1144" s="731"/>
      <c r="I1144" s="731" t="s">
        <v>416</v>
      </c>
      <c r="J1144" s="731"/>
      <c r="K1144" s="731"/>
      <c r="L1144" s="731" t="s">
        <v>415</v>
      </c>
      <c r="M1144" s="731"/>
      <c r="N1144" s="731"/>
      <c r="O1144" s="736" t="s">
        <v>416</v>
      </c>
      <c r="P1144" s="736"/>
      <c r="Q1144" s="736"/>
      <c r="R1144" s="776">
        <f>R1131</f>
        <v>2017</v>
      </c>
      <c r="S1144" s="791"/>
      <c r="T1144" s="791"/>
      <c r="U1144" s="792"/>
      <c r="V1144" s="804"/>
      <c r="W1144" s="805"/>
      <c r="X1144" s="805"/>
      <c r="Y1144" s="208" t="s">
        <v>417</v>
      </c>
      <c r="Z1144" s="805"/>
      <c r="AA1144" s="805"/>
      <c r="AB1144" s="805"/>
      <c r="AC1144" s="712" t="s">
        <v>404</v>
      </c>
      <c r="AD1144" s="713"/>
      <c r="AE1144" s="713"/>
      <c r="AF1144" s="806"/>
    </row>
    <row r="1145" spans="1:40" s="20" customFormat="1" ht="44.25" customHeight="1">
      <c r="A1145" s="844" t="str">
        <f>C1139</f>
        <v>Bangunan Gedung Tempat Tinggal</v>
      </c>
      <c r="B1145" s="853">
        <f>'[1]4.NERACA'!D104</f>
        <v>16600000</v>
      </c>
      <c r="C1145" s="854"/>
      <c r="D1145" s="854"/>
      <c r="E1145" s="855"/>
      <c r="F1145" s="853">
        <f>'[1]4.NERACA'!E104</f>
        <v>0</v>
      </c>
      <c r="G1145" s="854"/>
      <c r="H1145" s="855"/>
      <c r="I1145" s="853">
        <f>'[1]4.NERACA'!F104</f>
        <v>0</v>
      </c>
      <c r="J1145" s="854"/>
      <c r="K1145" s="855"/>
      <c r="L1145" s="853">
        <f>'[1]4.NERACA'!G104</f>
        <v>0</v>
      </c>
      <c r="M1145" s="854"/>
      <c r="N1145" s="855"/>
      <c r="O1145" s="853">
        <f>'[1]4.NERACA'!H104</f>
        <v>0</v>
      </c>
      <c r="P1145" s="854"/>
      <c r="Q1145" s="855"/>
      <c r="R1145" s="853">
        <f>B1145+F1145-I1145+L1145-O1145</f>
        <v>16600000</v>
      </c>
      <c r="S1145" s="854"/>
      <c r="T1145" s="854"/>
      <c r="U1145" s="855"/>
      <c r="V1145" s="856"/>
      <c r="W1145" s="857"/>
      <c r="X1145" s="857"/>
      <c r="Y1145" s="208">
        <f>(R1145-B1145)/B1145*100</f>
        <v>0</v>
      </c>
      <c r="Z1145" s="805"/>
      <c r="AA1145" s="805"/>
      <c r="AB1145" s="805"/>
      <c r="AC1145" s="451">
        <f>R1145-B1145</f>
        <v>0</v>
      </c>
      <c r="AD1145" s="452"/>
      <c r="AE1145" s="452"/>
      <c r="AF1145" s="453"/>
    </row>
    <row r="1146" spans="1:40" s="20" customFormat="1" ht="15" customHeight="1">
      <c r="A1146" s="782"/>
      <c r="B1146" s="772" t="s">
        <v>436</v>
      </c>
      <c r="C1146" s="772"/>
      <c r="D1146" s="772"/>
      <c r="E1146" s="772"/>
      <c r="F1146" s="772"/>
      <c r="G1146" s="772"/>
      <c r="H1146" s="772"/>
      <c r="I1146" s="772"/>
      <c r="J1146" s="772"/>
      <c r="K1146" s="772"/>
      <c r="L1146" s="772"/>
      <c r="M1146" s="772"/>
      <c r="N1146" s="772"/>
      <c r="O1146" s="772"/>
      <c r="P1146" s="772"/>
      <c r="Q1146" s="772"/>
      <c r="R1146" s="772"/>
      <c r="S1146" s="772"/>
      <c r="T1146" s="772"/>
      <c r="U1146" s="772"/>
      <c r="V1146" s="27"/>
    </row>
    <row r="1147" spans="1:40" s="20" customFormat="1" ht="15" customHeight="1">
      <c r="A1147" s="782"/>
      <c r="B1147" s="442"/>
      <c r="C1147" s="428" t="str">
        <f>"a. Penambahan Aset sebesar Rp. "&amp;FIXED(F1145+L1145)&amp;" ."</f>
        <v>a. Penambahan Aset sebesar Rp. 0.00 .</v>
      </c>
      <c r="D1147" s="428"/>
      <c r="E1147" s="428"/>
      <c r="F1147" s="428"/>
      <c r="G1147" s="428"/>
      <c r="H1147" s="428"/>
      <c r="I1147" s="428"/>
      <c r="J1147" s="428"/>
      <c r="K1147" s="428"/>
      <c r="L1147" s="428"/>
      <c r="M1147" s="428"/>
      <c r="N1147" s="428"/>
      <c r="O1147" s="428"/>
      <c r="P1147" s="428"/>
      <c r="Q1147" s="428"/>
      <c r="R1147" s="428"/>
      <c r="S1147" s="428"/>
      <c r="T1147" s="428"/>
      <c r="U1147" s="428"/>
      <c r="V1147" s="27"/>
    </row>
    <row r="1148" spans="1:40" s="20" customFormat="1" ht="4.5" customHeight="1">
      <c r="A1148" s="782"/>
      <c r="B1148" s="442"/>
      <c r="C1148" s="357"/>
      <c r="D1148" s="152"/>
      <c r="E1148" s="152"/>
      <c r="F1148" s="152"/>
      <c r="G1148" s="152"/>
      <c r="H1148" s="152"/>
      <c r="I1148" s="152"/>
      <c r="J1148" s="152"/>
      <c r="K1148" s="152"/>
      <c r="L1148" s="152"/>
      <c r="M1148" s="152"/>
      <c r="N1148" s="152"/>
      <c r="O1148" s="152"/>
      <c r="P1148" s="152"/>
      <c r="Q1148" s="152"/>
      <c r="R1148" s="152"/>
      <c r="S1148" s="152"/>
      <c r="T1148" s="152"/>
      <c r="U1148" s="152"/>
      <c r="V1148" s="27"/>
      <c r="AN1148" s="518"/>
    </row>
    <row r="1149" spans="1:40" s="20" customFormat="1" ht="7.5" customHeight="1">
      <c r="A1149" s="782"/>
      <c r="B1149" s="442"/>
      <c r="C1149" s="357"/>
      <c r="D1149" s="152"/>
      <c r="E1149" s="152"/>
      <c r="F1149" s="152"/>
      <c r="G1149" s="152"/>
      <c r="H1149" s="152"/>
      <c r="I1149" s="152"/>
      <c r="J1149" s="152"/>
      <c r="K1149" s="152"/>
      <c r="L1149" s="152"/>
      <c r="M1149" s="152"/>
      <c r="N1149" s="152"/>
      <c r="O1149" s="152"/>
      <c r="P1149" s="152"/>
      <c r="Q1149" s="152"/>
      <c r="R1149" s="152"/>
      <c r="S1149" s="152"/>
      <c r="T1149" s="152"/>
      <c r="U1149" s="152"/>
      <c r="V1149" s="27"/>
      <c r="AN1149" s="858"/>
    </row>
    <row r="1150" spans="1:40" s="20" customFormat="1" ht="5.25" customHeight="1">
      <c r="A1150" s="782"/>
      <c r="B1150" s="442"/>
      <c r="C1150" s="357"/>
      <c r="D1150" s="152"/>
      <c r="E1150" s="152"/>
      <c r="F1150" s="152"/>
      <c r="G1150" s="152"/>
      <c r="H1150" s="152"/>
      <c r="I1150" s="152"/>
      <c r="J1150" s="152"/>
      <c r="K1150" s="152"/>
      <c r="L1150" s="152"/>
      <c r="M1150" s="152"/>
      <c r="N1150" s="152"/>
      <c r="O1150" s="152"/>
      <c r="P1150" s="152"/>
      <c r="Q1150" s="152"/>
      <c r="R1150" s="152"/>
      <c r="S1150" s="152"/>
      <c r="T1150" s="152"/>
      <c r="U1150" s="152"/>
      <c r="V1150" s="27"/>
      <c r="AN1150" s="858"/>
    </row>
    <row r="1151" spans="1:40" s="20" customFormat="1" ht="15" customHeight="1">
      <c r="A1151" s="782"/>
      <c r="B1151" s="442"/>
      <c r="C1151" s="428" t="str">
        <f>"b. Pengurangan Aset sebesar Rp. "&amp;FIXED(I1145+O1145)&amp;""</f>
        <v>b. Pengurangan Aset sebesar Rp. 0.00</v>
      </c>
      <c r="D1151" s="428"/>
      <c r="E1151" s="428"/>
      <c r="F1151" s="428"/>
      <c r="G1151" s="428"/>
      <c r="H1151" s="428"/>
      <c r="I1151" s="428"/>
      <c r="J1151" s="428"/>
      <c r="K1151" s="428"/>
      <c r="L1151" s="428"/>
      <c r="M1151" s="428"/>
      <c r="N1151" s="428"/>
      <c r="O1151" s="428"/>
      <c r="P1151" s="428"/>
      <c r="Q1151" s="428"/>
      <c r="R1151" s="428"/>
      <c r="S1151" s="428"/>
      <c r="T1151" s="428"/>
      <c r="U1151" s="428"/>
      <c r="V1151" s="27"/>
      <c r="AN1151" s="858"/>
    </row>
    <row r="1152" spans="1:40" s="20" customFormat="1" ht="3" customHeight="1">
      <c r="A1152" s="782"/>
      <c r="B1152" s="784"/>
      <c r="C1152" s="357"/>
      <c r="D1152" s="152"/>
      <c r="E1152" s="152"/>
      <c r="F1152" s="152"/>
      <c r="G1152" s="152"/>
      <c r="H1152" s="152"/>
      <c r="I1152" s="152"/>
      <c r="J1152" s="152"/>
      <c r="K1152" s="152"/>
      <c r="L1152" s="152"/>
      <c r="M1152" s="152"/>
      <c r="N1152" s="152"/>
      <c r="O1152" s="152"/>
      <c r="P1152" s="152"/>
      <c r="Q1152" s="152"/>
      <c r="R1152" s="152"/>
      <c r="S1152" s="152"/>
      <c r="T1152" s="152"/>
      <c r="U1152" s="152"/>
      <c r="V1152" s="27"/>
      <c r="AN1152" s="858"/>
    </row>
    <row r="1153" spans="1:40" s="20" customFormat="1" ht="10.5" customHeight="1">
      <c r="A1153" s="782"/>
      <c r="B1153" s="784"/>
      <c r="C1153" s="357"/>
      <c r="D1153" s="152"/>
      <c r="E1153" s="152"/>
      <c r="F1153" s="152"/>
      <c r="G1153" s="152"/>
      <c r="H1153" s="152"/>
      <c r="I1153" s="152"/>
      <c r="J1153" s="152"/>
      <c r="K1153" s="152"/>
      <c r="L1153" s="152"/>
      <c r="M1153" s="152"/>
      <c r="N1153" s="152"/>
      <c r="O1153" s="152"/>
      <c r="P1153" s="152"/>
      <c r="Q1153" s="152"/>
      <c r="R1153" s="152"/>
      <c r="S1153" s="152"/>
      <c r="T1153" s="152"/>
      <c r="U1153" s="152"/>
      <c r="V1153" s="27"/>
      <c r="AN1153" s="518"/>
    </row>
    <row r="1154" spans="1:40" s="20" customFormat="1" ht="15" hidden="1" customHeight="1">
      <c r="A1154" s="782"/>
      <c r="B1154" s="784"/>
      <c r="C1154" s="357"/>
      <c r="D1154" s="152"/>
      <c r="E1154" s="152"/>
      <c r="F1154" s="152"/>
      <c r="G1154" s="152"/>
      <c r="H1154" s="152"/>
      <c r="I1154" s="152"/>
      <c r="J1154" s="152"/>
      <c r="K1154" s="152"/>
      <c r="L1154" s="152"/>
      <c r="M1154" s="152"/>
      <c r="N1154" s="152"/>
      <c r="O1154" s="152"/>
      <c r="P1154" s="152"/>
      <c r="Q1154" s="152"/>
      <c r="R1154" s="152"/>
      <c r="S1154" s="152"/>
      <c r="T1154" s="152"/>
      <c r="U1154" s="152"/>
      <c r="V1154" s="27"/>
      <c r="AN1154" s="858"/>
    </row>
    <row r="1155" spans="1:40" s="20" customFormat="1" ht="2.25" customHeight="1">
      <c r="A1155" s="14"/>
      <c r="B1155" s="385"/>
      <c r="C1155" s="385"/>
      <c r="D1155" s="385"/>
      <c r="E1155" s="385"/>
      <c r="F1155" s="385"/>
      <c r="G1155" s="385"/>
      <c r="H1155" s="385"/>
      <c r="I1155" s="385"/>
      <c r="J1155" s="385"/>
      <c r="K1155" s="385"/>
      <c r="L1155" s="385"/>
      <c r="M1155" s="385"/>
      <c r="N1155" s="483"/>
      <c r="O1155" s="483"/>
      <c r="P1155" s="483"/>
      <c r="Q1155" s="483"/>
      <c r="R1155" s="483"/>
      <c r="S1155" s="483"/>
      <c r="T1155" s="483"/>
      <c r="U1155" s="483"/>
      <c r="V1155" s="27"/>
      <c r="AN1155" s="858"/>
    </row>
    <row r="1156" spans="1:40" s="20" customFormat="1" ht="15" customHeight="1">
      <c r="A1156" s="14"/>
      <c r="B1156" s="774" t="s">
        <v>113</v>
      </c>
      <c r="C1156" s="775" t="str">
        <f>'[1]4.NERACA'!C105</f>
        <v>Bangunan Menara</v>
      </c>
      <c r="D1156" s="775"/>
      <c r="E1156" s="775"/>
      <c r="F1156" s="775"/>
      <c r="G1156" s="775"/>
      <c r="H1156" s="775"/>
      <c r="I1156" s="775"/>
      <c r="J1156" s="775"/>
      <c r="K1156" s="775"/>
      <c r="L1156" s="775"/>
      <c r="M1156" s="775"/>
      <c r="N1156" s="775"/>
      <c r="O1156" s="775"/>
      <c r="P1156" s="775"/>
      <c r="Q1156" s="775"/>
      <c r="R1156" s="775"/>
      <c r="S1156" s="775"/>
      <c r="T1156" s="775"/>
      <c r="U1156" s="775"/>
      <c r="V1156" s="27"/>
      <c r="AN1156" s="858"/>
    </row>
    <row r="1157" spans="1:40" s="20" customFormat="1" ht="71.25" customHeight="1">
      <c r="A1157" s="14"/>
      <c r="C1157" s="313" t="str">
        <f>"Nilai aset tetap berupa "&amp;C1156&amp;"  per "&amp;'[1]2.ISIAN DATA SKPD'!D8&amp;" dan  "&amp;'[1]2.ISIAN DATA SKPD'!D12&amp;" adalah sebesar Rp. "&amp;FIXED(R1162)&amp;" dan Rp. "&amp;FIXED(B1162)&amp;" mengalami kenaikan/penurunan sebesar Rp. "&amp;FIXED(AC1162)&amp;" atau sebesar "&amp;FIXED(Y1162)&amp;"% dari tahun "&amp;'[1]2.ISIAN DATA SKPD'!D12&amp;"."</f>
        <v>Nilai aset tetap berupa Bangunan Menara  per 31 Desember 2017 dan  2016 adalah sebesar Rp. 0.00 dan Rp. 0.00 mengalami kenaikan/penurunan sebesar Rp. 0.00 atau sebesar 0.00% dari tahun 2016.</v>
      </c>
      <c r="D1157" s="313"/>
      <c r="E1157" s="313"/>
      <c r="F1157" s="313"/>
      <c r="G1157" s="313"/>
      <c r="H1157" s="313"/>
      <c r="I1157" s="313"/>
      <c r="J1157" s="313"/>
      <c r="K1157" s="313"/>
      <c r="L1157" s="313"/>
      <c r="M1157" s="313"/>
      <c r="N1157" s="313"/>
      <c r="O1157" s="313"/>
      <c r="P1157" s="313"/>
      <c r="Q1157" s="313"/>
      <c r="R1157" s="313"/>
      <c r="S1157" s="313"/>
      <c r="T1157" s="313"/>
      <c r="U1157" s="313"/>
      <c r="V1157" s="859"/>
      <c r="W1157" s="859"/>
      <c r="X1157" s="859"/>
      <c r="Y1157" s="859"/>
      <c r="Z1157" s="859"/>
      <c r="AA1157" s="859"/>
      <c r="AB1157" s="859"/>
      <c r="AC1157" s="859"/>
      <c r="AD1157" s="859"/>
      <c r="AE1157" s="859"/>
      <c r="AF1157" s="859"/>
    </row>
    <row r="1158" spans="1:40" s="20" customFormat="1" ht="24.75" customHeight="1">
      <c r="A1158" s="14"/>
      <c r="C1158" s="313" t="str">
        <f>"Dengan mutasi  selama tahun "&amp;'[1]2.ISIAN DATA SKPD'!D11&amp;" sebagai berikut :"</f>
        <v>Dengan mutasi  selama tahun 2017 sebagai berikut :</v>
      </c>
      <c r="D1158" s="313"/>
      <c r="E1158" s="313"/>
      <c r="F1158" s="313"/>
      <c r="G1158" s="313"/>
      <c r="H1158" s="313"/>
      <c r="I1158" s="313"/>
      <c r="J1158" s="313"/>
      <c r="K1158" s="313"/>
      <c r="L1158" s="313"/>
      <c r="M1158" s="313"/>
      <c r="N1158" s="313"/>
      <c r="O1158" s="313"/>
      <c r="P1158" s="313"/>
      <c r="Q1158" s="313"/>
      <c r="R1158" s="313"/>
      <c r="S1158" s="313"/>
      <c r="T1158" s="313"/>
      <c r="U1158" s="313"/>
      <c r="V1158" s="357"/>
      <c r="W1158" s="860"/>
      <c r="X1158" s="860"/>
      <c r="Y1158" s="860"/>
      <c r="Z1158" s="860"/>
      <c r="AA1158" s="860"/>
      <c r="AB1158" s="860"/>
      <c r="AC1158" s="860"/>
      <c r="AD1158" s="860"/>
      <c r="AE1158" s="860"/>
      <c r="AF1158" s="860"/>
    </row>
    <row r="1159" spans="1:40" s="20" customFormat="1" ht="15" customHeight="1">
      <c r="A1159" s="14"/>
      <c r="C1159" s="285"/>
      <c r="D1159" s="285"/>
      <c r="E1159" s="285"/>
      <c r="F1159" s="285"/>
      <c r="G1159" s="285"/>
      <c r="H1159" s="285"/>
      <c r="I1159" s="285"/>
      <c r="J1159" s="285"/>
      <c r="K1159" s="285"/>
      <c r="L1159" s="285"/>
      <c r="M1159" s="285"/>
      <c r="N1159" s="285"/>
      <c r="O1159" s="285"/>
      <c r="P1159" s="285"/>
      <c r="Q1159" s="285"/>
      <c r="R1159" s="285"/>
      <c r="S1159" s="285"/>
      <c r="T1159" s="285"/>
      <c r="U1159" s="285"/>
      <c r="V1159" s="357"/>
      <c r="W1159" s="860"/>
      <c r="X1159" s="860"/>
      <c r="Y1159" s="860"/>
      <c r="Z1159" s="860"/>
      <c r="AA1159" s="860"/>
      <c r="AB1159" s="860"/>
      <c r="AC1159" s="860"/>
      <c r="AD1159" s="860"/>
      <c r="AE1159" s="860"/>
      <c r="AF1159" s="860"/>
    </row>
    <row r="1160" spans="1:40" s="20" customFormat="1" ht="36" customHeight="1">
      <c r="A1160" s="726" t="s">
        <v>84</v>
      </c>
      <c r="B1160" s="727" t="s">
        <v>411</v>
      </c>
      <c r="C1160" s="728"/>
      <c r="D1160" s="728"/>
      <c r="E1160" s="729"/>
      <c r="F1160" s="730" t="s">
        <v>412</v>
      </c>
      <c r="G1160" s="730"/>
      <c r="H1160" s="730"/>
      <c r="I1160" s="730"/>
      <c r="J1160" s="730"/>
      <c r="K1160" s="730"/>
      <c r="L1160" s="730" t="s">
        <v>413</v>
      </c>
      <c r="M1160" s="730"/>
      <c r="N1160" s="730"/>
      <c r="O1160" s="730"/>
      <c r="P1160" s="730"/>
      <c r="Q1160" s="730"/>
      <c r="R1160" s="731" t="s">
        <v>414</v>
      </c>
      <c r="S1160" s="731"/>
      <c r="T1160" s="731"/>
      <c r="U1160" s="731"/>
      <c r="V1160" s="357"/>
      <c r="W1160" s="860"/>
      <c r="X1160" s="860"/>
      <c r="Y1160" s="860"/>
      <c r="Z1160" s="860"/>
      <c r="AA1160" s="860"/>
      <c r="AB1160" s="860"/>
      <c r="AC1160" s="860"/>
      <c r="AD1160" s="860"/>
      <c r="AE1160" s="860"/>
      <c r="AF1160" s="860"/>
      <c r="AJ1160" s="859"/>
      <c r="AK1160" s="859"/>
      <c r="AL1160" s="859"/>
      <c r="AM1160" s="859"/>
    </row>
    <row r="1161" spans="1:40" s="20" customFormat="1" ht="14.25" customHeight="1">
      <c r="A1161" s="732"/>
      <c r="B1161" s="861">
        <f>B1144</f>
        <v>2017</v>
      </c>
      <c r="C1161" s="862"/>
      <c r="D1161" s="862"/>
      <c r="E1161" s="863"/>
      <c r="F1161" s="731" t="s">
        <v>415</v>
      </c>
      <c r="G1161" s="731"/>
      <c r="H1161" s="731"/>
      <c r="I1161" s="731" t="s">
        <v>416</v>
      </c>
      <c r="J1161" s="731"/>
      <c r="K1161" s="731"/>
      <c r="L1161" s="731" t="s">
        <v>415</v>
      </c>
      <c r="M1161" s="731"/>
      <c r="N1161" s="731"/>
      <c r="O1161" s="736" t="s">
        <v>416</v>
      </c>
      <c r="P1161" s="736"/>
      <c r="Q1161" s="736"/>
      <c r="R1161" s="776">
        <f>R1144</f>
        <v>2017</v>
      </c>
      <c r="S1161" s="791"/>
      <c r="T1161" s="791"/>
      <c r="U1161" s="792"/>
      <c r="V1161" s="804"/>
      <c r="W1161" s="805"/>
      <c r="X1161" s="805"/>
      <c r="Y1161" s="208" t="s">
        <v>417</v>
      </c>
      <c r="Z1161" s="805"/>
      <c r="AA1161" s="805"/>
      <c r="AB1161" s="805"/>
      <c r="AC1161" s="864" t="s">
        <v>404</v>
      </c>
      <c r="AD1161" s="865"/>
      <c r="AE1161" s="865"/>
      <c r="AF1161" s="866"/>
      <c r="AG1161" s="859"/>
      <c r="AH1161" s="859"/>
      <c r="AI1161" s="859"/>
      <c r="AJ1161" s="860"/>
      <c r="AK1161" s="860"/>
      <c r="AL1161" s="860"/>
      <c r="AM1161" s="860"/>
    </row>
    <row r="1162" spans="1:40" s="20" customFormat="1" ht="31.5" customHeight="1">
      <c r="A1162" s="844" t="str">
        <f>C1156</f>
        <v>Bangunan Menara</v>
      </c>
      <c r="B1162" s="853">
        <f>'[1]4.NERACA'!D105</f>
        <v>0</v>
      </c>
      <c r="C1162" s="854"/>
      <c r="D1162" s="854"/>
      <c r="E1162" s="855"/>
      <c r="F1162" s="853">
        <f>'[1]4.NERACA'!E104</f>
        <v>0</v>
      </c>
      <c r="G1162" s="854"/>
      <c r="H1162" s="855"/>
      <c r="I1162" s="853">
        <f>'[1]4.NERACA'!F104</f>
        <v>0</v>
      </c>
      <c r="J1162" s="854"/>
      <c r="K1162" s="855"/>
      <c r="L1162" s="853">
        <f>'[1]4.NERACA'!G104</f>
        <v>0</v>
      </c>
      <c r="M1162" s="854"/>
      <c r="N1162" s="855"/>
      <c r="O1162" s="853">
        <f>'[1]4.NERACA'!H104</f>
        <v>0</v>
      </c>
      <c r="P1162" s="854"/>
      <c r="Q1162" s="855"/>
      <c r="R1162" s="853">
        <f>B1162+F1162-I1162+L1162-O1162</f>
        <v>0</v>
      </c>
      <c r="S1162" s="854"/>
      <c r="T1162" s="854"/>
      <c r="U1162" s="855"/>
      <c r="V1162" s="808"/>
      <c r="W1162" s="805"/>
      <c r="X1162" s="805"/>
      <c r="Y1162" s="208">
        <v>0</v>
      </c>
      <c r="Z1162" s="805"/>
      <c r="AA1162" s="805"/>
      <c r="AB1162" s="805"/>
      <c r="AC1162" s="451">
        <f>R1162-B1162</f>
        <v>0</v>
      </c>
      <c r="AD1162" s="452"/>
      <c r="AE1162" s="452"/>
      <c r="AF1162" s="453"/>
      <c r="AG1162" s="860"/>
      <c r="AH1162" s="860"/>
      <c r="AI1162" s="860"/>
      <c r="AJ1162" s="860"/>
      <c r="AK1162" s="860"/>
      <c r="AL1162" s="860"/>
      <c r="AM1162" s="860"/>
    </row>
    <row r="1163" spans="1:40" s="20" customFormat="1" ht="21.75" customHeight="1">
      <c r="A1163" s="782"/>
      <c r="B1163" s="772" t="s">
        <v>436</v>
      </c>
      <c r="C1163" s="772"/>
      <c r="D1163" s="772"/>
      <c r="E1163" s="772"/>
      <c r="F1163" s="772"/>
      <c r="G1163" s="772"/>
      <c r="H1163" s="772"/>
      <c r="I1163" s="772"/>
      <c r="J1163" s="772"/>
      <c r="K1163" s="772"/>
      <c r="L1163" s="772"/>
      <c r="M1163" s="772"/>
      <c r="N1163" s="772"/>
      <c r="O1163" s="772"/>
      <c r="P1163" s="772"/>
      <c r="Q1163" s="772"/>
      <c r="R1163" s="772"/>
      <c r="S1163" s="772"/>
      <c r="T1163" s="772"/>
      <c r="U1163" s="772"/>
      <c r="V1163" s="357"/>
      <c r="W1163" s="860"/>
      <c r="X1163" s="860"/>
      <c r="Y1163" s="860"/>
      <c r="Z1163" s="860"/>
      <c r="AA1163" s="860"/>
      <c r="AB1163" s="860"/>
      <c r="AC1163" s="860"/>
      <c r="AD1163" s="860"/>
      <c r="AE1163" s="860"/>
      <c r="AF1163" s="860"/>
      <c r="AG1163" s="860"/>
      <c r="AH1163" s="860"/>
      <c r="AI1163" s="860"/>
      <c r="AJ1163" s="860"/>
      <c r="AK1163" s="860"/>
      <c r="AL1163" s="860"/>
      <c r="AM1163" s="860"/>
    </row>
    <row r="1164" spans="1:40" s="20" customFormat="1" ht="15" customHeight="1">
      <c r="A1164" s="782"/>
      <c r="B1164" s="442"/>
      <c r="C1164" s="428" t="str">
        <f>"a. Penambahan Aset sebesar Rp. "&amp;FIXED(F1162+L1162)&amp;" :"</f>
        <v>a. Penambahan Aset sebesar Rp. 0.00 :</v>
      </c>
      <c r="D1164" s="428"/>
      <c r="E1164" s="428"/>
      <c r="F1164" s="428"/>
      <c r="G1164" s="428"/>
      <c r="H1164" s="428"/>
      <c r="I1164" s="428"/>
      <c r="J1164" s="428"/>
      <c r="K1164" s="428"/>
      <c r="L1164" s="428"/>
      <c r="M1164" s="428"/>
      <c r="N1164" s="428"/>
      <c r="O1164" s="428"/>
      <c r="P1164" s="428"/>
      <c r="Q1164" s="428"/>
      <c r="R1164" s="428"/>
      <c r="S1164" s="428"/>
      <c r="T1164" s="428"/>
      <c r="U1164" s="428"/>
      <c r="V1164" s="357"/>
      <c r="W1164" s="860"/>
      <c r="X1164" s="860"/>
      <c r="Y1164" s="860"/>
      <c r="Z1164" s="860"/>
      <c r="AA1164" s="860"/>
      <c r="AB1164" s="860"/>
      <c r="AC1164" s="860"/>
      <c r="AD1164" s="860"/>
      <c r="AE1164" s="860"/>
      <c r="AF1164" s="860"/>
      <c r="AG1164" s="860"/>
      <c r="AH1164" s="860"/>
      <c r="AI1164" s="860"/>
      <c r="AJ1164" s="858"/>
      <c r="AK1164" s="858"/>
      <c r="AL1164" s="858"/>
      <c r="AM1164" s="858"/>
    </row>
    <row r="1165" spans="1:40" s="20" customFormat="1" ht="5.25" customHeight="1">
      <c r="A1165" s="782"/>
      <c r="B1165" s="442"/>
      <c r="C1165" s="357"/>
      <c r="D1165" s="152"/>
      <c r="E1165" s="152"/>
      <c r="F1165" s="152"/>
      <c r="G1165" s="152"/>
      <c r="H1165" s="152"/>
      <c r="I1165" s="152"/>
      <c r="J1165" s="152"/>
      <c r="K1165" s="152"/>
      <c r="L1165" s="152"/>
      <c r="M1165" s="152"/>
      <c r="N1165" s="152"/>
      <c r="O1165" s="152"/>
      <c r="P1165" s="152"/>
      <c r="Q1165" s="152"/>
      <c r="R1165" s="152"/>
      <c r="S1165" s="152"/>
      <c r="T1165" s="152"/>
      <c r="U1165" s="152"/>
      <c r="V1165" s="357"/>
      <c r="W1165" s="860"/>
      <c r="X1165" s="860"/>
      <c r="Y1165" s="860"/>
      <c r="Z1165" s="860"/>
      <c r="AA1165" s="860"/>
      <c r="AB1165" s="860"/>
      <c r="AC1165" s="860"/>
      <c r="AD1165" s="860"/>
      <c r="AE1165" s="860"/>
      <c r="AF1165" s="860"/>
      <c r="AG1165" s="858"/>
      <c r="AH1165" s="858"/>
      <c r="AI1165" s="858"/>
      <c r="AJ1165" s="518"/>
      <c r="AK1165" s="518"/>
      <c r="AL1165" s="518"/>
      <c r="AM1165" s="518"/>
    </row>
    <row r="1166" spans="1:40" s="20" customFormat="1" ht="6.75" customHeight="1">
      <c r="A1166" s="782"/>
      <c r="B1166" s="442"/>
      <c r="C1166" s="357"/>
      <c r="D1166" s="152"/>
      <c r="E1166" s="152"/>
      <c r="F1166" s="152"/>
      <c r="G1166" s="152"/>
      <c r="H1166" s="152"/>
      <c r="I1166" s="152"/>
      <c r="J1166" s="152"/>
      <c r="K1166" s="152"/>
      <c r="L1166" s="152"/>
      <c r="M1166" s="152"/>
      <c r="N1166" s="152"/>
      <c r="O1166" s="152"/>
      <c r="P1166" s="152"/>
      <c r="Q1166" s="152"/>
      <c r="R1166" s="152"/>
      <c r="S1166" s="152"/>
      <c r="T1166" s="152"/>
      <c r="U1166" s="152"/>
      <c r="V1166" s="27"/>
      <c r="AG1166" s="518"/>
      <c r="AH1166" s="518"/>
      <c r="AI1166" s="518"/>
      <c r="AJ1166" s="860"/>
      <c r="AK1166" s="860"/>
      <c r="AL1166" s="860"/>
      <c r="AM1166" s="860"/>
    </row>
    <row r="1167" spans="1:40" s="20" customFormat="1" ht="6.75" customHeight="1">
      <c r="A1167" s="782"/>
      <c r="B1167" s="442"/>
      <c r="C1167" s="357"/>
      <c r="D1167" s="152"/>
      <c r="E1167" s="152"/>
      <c r="F1167" s="152"/>
      <c r="G1167" s="152"/>
      <c r="H1167" s="152"/>
      <c r="I1167" s="152"/>
      <c r="J1167" s="152"/>
      <c r="K1167" s="152"/>
      <c r="L1167" s="152"/>
      <c r="M1167" s="152"/>
      <c r="N1167" s="152"/>
      <c r="O1167" s="152"/>
      <c r="P1167" s="152"/>
      <c r="Q1167" s="152"/>
      <c r="R1167" s="152"/>
      <c r="S1167" s="152"/>
      <c r="T1167" s="152"/>
      <c r="U1167" s="152"/>
      <c r="V1167" s="27"/>
      <c r="AG1167" s="860"/>
      <c r="AH1167" s="860"/>
      <c r="AI1167" s="860"/>
      <c r="AJ1167" s="860"/>
      <c r="AK1167" s="860"/>
      <c r="AL1167" s="860"/>
      <c r="AM1167" s="860"/>
    </row>
    <row r="1168" spans="1:40" s="20" customFormat="1" ht="15" customHeight="1">
      <c r="A1168" s="14"/>
      <c r="B1168" s="442"/>
      <c r="C1168" s="428" t="str">
        <f>"b. Pengurangan Aset sebesar Rp. "&amp;FIXED(I1162+O1162)&amp;" "</f>
        <v xml:space="preserve">b. Pengurangan Aset sebesar Rp. 0.00 </v>
      </c>
      <c r="D1168" s="428"/>
      <c r="E1168" s="428"/>
      <c r="F1168" s="428"/>
      <c r="G1168" s="428"/>
      <c r="H1168" s="428"/>
      <c r="I1168" s="428"/>
      <c r="J1168" s="428"/>
      <c r="K1168" s="428"/>
      <c r="L1168" s="428"/>
      <c r="M1168" s="428"/>
      <c r="N1168" s="428"/>
      <c r="O1168" s="428"/>
      <c r="P1168" s="428"/>
      <c r="Q1168" s="428"/>
      <c r="R1168" s="428"/>
      <c r="S1168" s="428"/>
      <c r="T1168" s="428"/>
      <c r="U1168" s="428"/>
      <c r="V1168" s="27"/>
      <c r="AG1168" s="860"/>
      <c r="AH1168" s="860"/>
      <c r="AI1168" s="860"/>
      <c r="AJ1168" s="860"/>
      <c r="AK1168" s="860"/>
      <c r="AL1168" s="860"/>
      <c r="AM1168" s="860"/>
    </row>
    <row r="1169" spans="1:35" s="20" customFormat="1" ht="11.25" customHeight="1">
      <c r="A1169" s="14"/>
      <c r="B1169" s="784"/>
      <c r="C1169" s="357"/>
      <c r="D1169" s="152"/>
      <c r="E1169" s="152"/>
      <c r="F1169" s="152"/>
      <c r="G1169" s="152"/>
      <c r="H1169" s="152"/>
      <c r="I1169" s="152"/>
      <c r="J1169" s="152"/>
      <c r="K1169" s="152"/>
      <c r="L1169" s="152"/>
      <c r="M1169" s="152"/>
      <c r="N1169" s="152"/>
      <c r="O1169" s="152"/>
      <c r="P1169" s="152"/>
      <c r="Q1169" s="152"/>
      <c r="R1169" s="152"/>
      <c r="S1169" s="152"/>
      <c r="T1169" s="152"/>
      <c r="U1169" s="152"/>
      <c r="V1169" s="27"/>
      <c r="AG1169" s="860"/>
      <c r="AH1169" s="860"/>
      <c r="AI1169" s="860"/>
    </row>
    <row r="1170" spans="1:35" s="20" customFormat="1" ht="30" hidden="1" customHeight="1">
      <c r="A1170" s="14"/>
      <c r="B1170" s="784"/>
      <c r="C1170" s="357"/>
      <c r="D1170" s="152"/>
      <c r="E1170" s="152"/>
      <c r="F1170" s="152"/>
      <c r="G1170" s="152"/>
      <c r="H1170" s="152"/>
      <c r="I1170" s="152"/>
      <c r="J1170" s="152"/>
      <c r="K1170" s="152"/>
      <c r="L1170" s="152"/>
      <c r="M1170" s="152"/>
      <c r="N1170" s="152"/>
      <c r="O1170" s="152"/>
      <c r="P1170" s="152"/>
      <c r="Q1170" s="152"/>
      <c r="R1170" s="152"/>
      <c r="S1170" s="152"/>
      <c r="T1170" s="152"/>
      <c r="U1170" s="152"/>
      <c r="V1170" s="27"/>
    </row>
    <row r="1171" spans="1:35" s="20" customFormat="1" ht="3.75" customHeight="1">
      <c r="A1171" s="14"/>
      <c r="B1171" s="784"/>
      <c r="C1171" s="357"/>
      <c r="D1171" s="152"/>
      <c r="E1171" s="152"/>
      <c r="F1171" s="152"/>
      <c r="G1171" s="152"/>
      <c r="H1171" s="152"/>
      <c r="I1171" s="152"/>
      <c r="J1171" s="152"/>
      <c r="K1171" s="152"/>
      <c r="L1171" s="152"/>
      <c r="M1171" s="152"/>
      <c r="N1171" s="152"/>
      <c r="O1171" s="152"/>
      <c r="P1171" s="152"/>
      <c r="Q1171" s="152"/>
      <c r="R1171" s="152"/>
      <c r="S1171" s="152"/>
      <c r="T1171" s="152"/>
      <c r="U1171" s="152"/>
      <c r="V1171" s="27"/>
    </row>
    <row r="1172" spans="1:35" s="20" customFormat="1" ht="15" hidden="1" customHeight="1">
      <c r="A1172" s="14"/>
      <c r="B1172" s="774"/>
      <c r="C1172" s="867"/>
      <c r="D1172" s="867"/>
      <c r="E1172" s="867"/>
      <c r="F1172" s="867"/>
      <c r="G1172" s="867"/>
      <c r="H1172" s="867"/>
      <c r="I1172" s="867"/>
      <c r="J1172" s="867"/>
      <c r="K1172" s="867"/>
      <c r="L1172" s="867"/>
      <c r="M1172" s="867"/>
      <c r="N1172" s="867"/>
      <c r="O1172" s="867"/>
      <c r="P1172" s="867"/>
      <c r="Q1172" s="867"/>
      <c r="R1172" s="867"/>
      <c r="S1172" s="867"/>
      <c r="T1172" s="867"/>
      <c r="U1172" s="867"/>
      <c r="V1172" s="27"/>
    </row>
    <row r="1173" spans="1:35" s="20" customFormat="1" ht="21" customHeight="1">
      <c r="A1173" s="14"/>
      <c r="B1173" s="774" t="s">
        <v>114</v>
      </c>
      <c r="C1173" s="775" t="str">
        <f>'[1]4.NERACA'!C106</f>
        <v>Bangunan Bersejarah</v>
      </c>
      <c r="D1173" s="775"/>
      <c r="E1173" s="775"/>
      <c r="F1173" s="775"/>
      <c r="G1173" s="775"/>
      <c r="H1173" s="775"/>
      <c r="I1173" s="775"/>
      <c r="J1173" s="775"/>
      <c r="K1173" s="775"/>
      <c r="L1173" s="775"/>
      <c r="M1173" s="775"/>
      <c r="N1173" s="775"/>
      <c r="O1173" s="775"/>
      <c r="P1173" s="775"/>
      <c r="Q1173" s="775"/>
      <c r="R1173" s="775"/>
      <c r="S1173" s="775"/>
      <c r="T1173" s="775"/>
      <c r="U1173" s="775"/>
      <c r="V1173" s="27"/>
    </row>
    <row r="1174" spans="1:35" s="20" customFormat="1" ht="63.75" customHeight="1">
      <c r="A1174" s="14"/>
      <c r="C1174" s="313" t="str">
        <f>"Nilai aset tetap berupa "&amp;C1173&amp;"  per "&amp;'[1]2.ISIAN DATA SKPD'!D8&amp;" dan  "&amp;'[1]2.ISIAN DATA SKPD'!D12&amp;" adalah sebesar Rp. "&amp;FIXED(R1179)&amp;" dan Rp. "&amp;FIXED(B1179)&amp;" mengalami kenaikan/penurunan sebesar Rp. "&amp;FIXED(AC1179)&amp;" atau sebesar "&amp;FIXED(Y1179)&amp;"% dari tahun "&amp;'[1]2.ISIAN DATA SKPD'!D12&amp;"."</f>
        <v>Nilai aset tetap berupa Bangunan Bersejarah  per 31 Desember 2017 dan  2016 adalah sebesar Rp. 0.00 dan Rp. 0.00 mengalami kenaikan/penurunan sebesar Rp. 0.00 atau sebesar 0.00% dari tahun 2016.</v>
      </c>
      <c r="D1174" s="313"/>
      <c r="E1174" s="313"/>
      <c r="F1174" s="313"/>
      <c r="G1174" s="313"/>
      <c r="H1174" s="313"/>
      <c r="I1174" s="313"/>
      <c r="J1174" s="313"/>
      <c r="K1174" s="313"/>
      <c r="L1174" s="313"/>
      <c r="M1174" s="313"/>
      <c r="N1174" s="313"/>
      <c r="O1174" s="313"/>
      <c r="P1174" s="313"/>
      <c r="Q1174" s="313"/>
      <c r="R1174" s="313"/>
      <c r="S1174" s="313"/>
      <c r="T1174" s="313"/>
      <c r="U1174" s="313"/>
      <c r="V1174" s="27"/>
    </row>
    <row r="1175" spans="1:35" s="20" customFormat="1" ht="20.25" customHeight="1">
      <c r="A1175" s="14"/>
      <c r="B1175" s="567"/>
      <c r="C1175" s="313" t="str">
        <f>"Dengan mutasi  selama tahun "&amp;'[1]2.ISIAN DATA SKPD'!D11&amp;" sebagai berikut :"</f>
        <v>Dengan mutasi  selama tahun 2017 sebagai berikut :</v>
      </c>
      <c r="D1175" s="313"/>
      <c r="E1175" s="313"/>
      <c r="F1175" s="313"/>
      <c r="G1175" s="313"/>
      <c r="H1175" s="313"/>
      <c r="I1175" s="313"/>
      <c r="J1175" s="313"/>
      <c r="K1175" s="313"/>
      <c r="L1175" s="313"/>
      <c r="M1175" s="313"/>
      <c r="N1175" s="313"/>
      <c r="O1175" s="313"/>
      <c r="P1175" s="313"/>
      <c r="Q1175" s="313"/>
      <c r="R1175" s="313"/>
      <c r="S1175" s="313"/>
      <c r="T1175" s="313"/>
      <c r="U1175" s="313"/>
      <c r="V1175" s="27"/>
    </row>
    <row r="1176" spans="1:35" s="20" customFormat="1" ht="4.5" customHeight="1">
      <c r="A1176" s="14"/>
      <c r="B1176" s="593"/>
      <c r="C1176" s="285"/>
      <c r="D1176" s="285"/>
      <c r="E1176" s="285"/>
      <c r="F1176" s="285"/>
      <c r="G1176" s="285"/>
      <c r="H1176" s="285"/>
      <c r="I1176" s="285"/>
      <c r="J1176" s="285"/>
      <c r="K1176" s="285"/>
      <c r="L1176" s="285"/>
      <c r="M1176" s="285"/>
      <c r="N1176" s="285"/>
      <c r="O1176" s="285"/>
      <c r="P1176" s="285"/>
      <c r="Q1176" s="285"/>
      <c r="R1176" s="285"/>
      <c r="S1176" s="285"/>
      <c r="T1176" s="285"/>
      <c r="U1176" s="285"/>
      <c r="V1176" s="27"/>
    </row>
    <row r="1177" spans="1:35" s="20" customFormat="1" ht="22.5" customHeight="1">
      <c r="A1177" s="726" t="s">
        <v>84</v>
      </c>
      <c r="B1177" s="727" t="s">
        <v>411</v>
      </c>
      <c r="C1177" s="728"/>
      <c r="D1177" s="728"/>
      <c r="E1177" s="729"/>
      <c r="F1177" s="730" t="s">
        <v>412</v>
      </c>
      <c r="G1177" s="730"/>
      <c r="H1177" s="730"/>
      <c r="I1177" s="730"/>
      <c r="J1177" s="730"/>
      <c r="K1177" s="730"/>
      <c r="L1177" s="730" t="s">
        <v>413</v>
      </c>
      <c r="M1177" s="730"/>
      <c r="N1177" s="730"/>
      <c r="O1177" s="730"/>
      <c r="P1177" s="730"/>
      <c r="Q1177" s="730"/>
      <c r="R1177" s="731" t="s">
        <v>414</v>
      </c>
      <c r="S1177" s="731"/>
      <c r="T1177" s="731"/>
      <c r="U1177" s="731"/>
      <c r="V1177" s="27"/>
    </row>
    <row r="1178" spans="1:35" s="20" customFormat="1" ht="19.5" customHeight="1">
      <c r="A1178" s="732"/>
      <c r="B1178" s="733">
        <f>B1161</f>
        <v>2017</v>
      </c>
      <c r="C1178" s="734"/>
      <c r="D1178" s="734"/>
      <c r="E1178" s="735"/>
      <c r="F1178" s="731" t="s">
        <v>415</v>
      </c>
      <c r="G1178" s="731"/>
      <c r="H1178" s="731"/>
      <c r="I1178" s="731" t="s">
        <v>416</v>
      </c>
      <c r="J1178" s="731"/>
      <c r="K1178" s="731"/>
      <c r="L1178" s="731" t="s">
        <v>415</v>
      </c>
      <c r="M1178" s="731"/>
      <c r="N1178" s="731"/>
      <c r="O1178" s="736" t="s">
        <v>416</v>
      </c>
      <c r="P1178" s="736"/>
      <c r="Q1178" s="736"/>
      <c r="R1178" s="776">
        <f>R1161</f>
        <v>2017</v>
      </c>
      <c r="S1178" s="791"/>
      <c r="T1178" s="791"/>
      <c r="U1178" s="792"/>
      <c r="V1178" s="804"/>
      <c r="W1178" s="805"/>
      <c r="X1178" s="805"/>
      <c r="Y1178" s="208" t="s">
        <v>417</v>
      </c>
      <c r="Z1178" s="805"/>
      <c r="AA1178" s="805"/>
      <c r="AB1178" s="805"/>
      <c r="AC1178" s="712" t="s">
        <v>404</v>
      </c>
      <c r="AD1178" s="713"/>
      <c r="AE1178" s="713"/>
      <c r="AF1178" s="806"/>
    </row>
    <row r="1179" spans="1:35" s="20" customFormat="1" ht="33.75" customHeight="1">
      <c r="A1179" s="844" t="str">
        <f>C1173</f>
        <v>Bangunan Bersejarah</v>
      </c>
      <c r="B1179" s="757">
        <f>'[1]4.NERACA'!D105</f>
        <v>0</v>
      </c>
      <c r="C1179" s="758"/>
      <c r="D1179" s="758"/>
      <c r="E1179" s="759"/>
      <c r="F1179" s="757">
        <f>'[1]4.NERACA'!E105</f>
        <v>0</v>
      </c>
      <c r="G1179" s="758"/>
      <c r="H1179" s="759"/>
      <c r="I1179" s="757">
        <f>'[1]4.NERACA'!F105</f>
        <v>0</v>
      </c>
      <c r="J1179" s="758"/>
      <c r="K1179" s="759"/>
      <c r="L1179" s="757">
        <f>'[1]4.NERACA'!G105</f>
        <v>0</v>
      </c>
      <c r="M1179" s="758"/>
      <c r="N1179" s="759"/>
      <c r="O1179" s="757">
        <f>'[1]4.NERACA'!H105</f>
        <v>0</v>
      </c>
      <c r="P1179" s="758"/>
      <c r="Q1179" s="759"/>
      <c r="R1179" s="757">
        <f>B1179+F1179-I1179+L1179-O1179</f>
        <v>0</v>
      </c>
      <c r="S1179" s="758"/>
      <c r="T1179" s="758"/>
      <c r="U1179" s="759"/>
      <c r="V1179" s="808"/>
      <c r="W1179" s="805"/>
      <c r="X1179" s="805"/>
      <c r="Y1179" s="208">
        <v>0</v>
      </c>
      <c r="Z1179" s="805"/>
      <c r="AA1179" s="805"/>
      <c r="AB1179" s="805"/>
      <c r="AC1179" s="451">
        <f>R1179-B1179</f>
        <v>0</v>
      </c>
      <c r="AD1179" s="452"/>
      <c r="AE1179" s="452"/>
      <c r="AF1179" s="453"/>
    </row>
    <row r="1180" spans="1:35" s="20" customFormat="1" ht="18" customHeight="1">
      <c r="A1180" s="782"/>
      <c r="B1180" s="772" t="s">
        <v>436</v>
      </c>
      <c r="C1180" s="772"/>
      <c r="D1180" s="772"/>
      <c r="E1180" s="772"/>
      <c r="F1180" s="772"/>
      <c r="G1180" s="772"/>
      <c r="H1180" s="772"/>
      <c r="I1180" s="772"/>
      <c r="J1180" s="772"/>
      <c r="K1180" s="772"/>
      <c r="L1180" s="772"/>
      <c r="M1180" s="772"/>
      <c r="N1180" s="772"/>
      <c r="O1180" s="772"/>
      <c r="P1180" s="772"/>
      <c r="Q1180" s="772"/>
      <c r="R1180" s="772"/>
      <c r="S1180" s="772"/>
      <c r="T1180" s="772"/>
      <c r="U1180" s="772"/>
      <c r="V1180" s="27"/>
    </row>
    <row r="1181" spans="1:35" s="20" customFormat="1" ht="15" customHeight="1">
      <c r="A1181" s="782"/>
      <c r="B1181" s="442"/>
      <c r="C1181" s="428" t="s">
        <v>428</v>
      </c>
      <c r="D1181" s="428"/>
      <c r="E1181" s="428"/>
      <c r="F1181" s="428"/>
      <c r="G1181" s="428"/>
      <c r="H1181" s="428"/>
      <c r="I1181" s="428"/>
      <c r="J1181" s="428"/>
      <c r="K1181" s="428"/>
      <c r="L1181" s="428"/>
      <c r="M1181" s="428"/>
      <c r="N1181" s="428"/>
      <c r="O1181" s="428"/>
      <c r="P1181" s="428"/>
      <c r="Q1181" s="428"/>
      <c r="R1181" s="428"/>
      <c r="S1181" s="428"/>
      <c r="T1181" s="428"/>
      <c r="U1181" s="428"/>
      <c r="V1181" s="27"/>
    </row>
    <row r="1182" spans="1:35" s="20" customFormat="1" ht="15" customHeight="1">
      <c r="A1182" s="782"/>
      <c r="B1182" s="442"/>
      <c r="C1182" s="354" t="str">
        <f>"Mutasi Debet sebesar Rp. "&amp;FIXED(F1179+L1179)&amp;" "</f>
        <v xml:space="preserve">Mutasi Debet sebesar Rp. 0.00 </v>
      </c>
      <c r="D1182" s="354"/>
      <c r="E1182" s="354"/>
      <c r="F1182" s="354"/>
      <c r="G1182" s="354"/>
      <c r="H1182" s="354"/>
      <c r="I1182" s="354"/>
      <c r="J1182" s="354"/>
      <c r="K1182" s="354"/>
      <c r="L1182" s="354"/>
      <c r="M1182" s="354"/>
      <c r="N1182" s="354"/>
      <c r="O1182" s="354"/>
      <c r="P1182" s="354"/>
      <c r="Q1182" s="354"/>
      <c r="R1182" s="354"/>
      <c r="S1182" s="354"/>
      <c r="T1182" s="354"/>
      <c r="U1182" s="354"/>
      <c r="V1182" s="27"/>
    </row>
    <row r="1183" spans="1:35" s="20" customFormat="1" ht="24" customHeight="1">
      <c r="A1183" s="782"/>
      <c r="B1183" s="442"/>
      <c r="C1183" s="428" t="s">
        <v>430</v>
      </c>
      <c r="D1183" s="428"/>
      <c r="E1183" s="428"/>
      <c r="F1183" s="428"/>
      <c r="G1183" s="428"/>
      <c r="H1183" s="428"/>
      <c r="I1183" s="428"/>
      <c r="J1183" s="428"/>
      <c r="K1183" s="428"/>
      <c r="L1183" s="428"/>
      <c r="M1183" s="428"/>
      <c r="N1183" s="428"/>
      <c r="O1183" s="428"/>
      <c r="P1183" s="428"/>
      <c r="Q1183" s="428"/>
      <c r="R1183" s="428"/>
      <c r="S1183" s="428"/>
      <c r="T1183" s="428"/>
      <c r="U1183" s="428"/>
      <c r="V1183" s="27"/>
    </row>
    <row r="1184" spans="1:35" s="20" customFormat="1" ht="15" customHeight="1">
      <c r="A1184" s="782"/>
      <c r="B1184" s="442"/>
      <c r="C1184" s="354" t="str">
        <f>"Mutasi Kredit Rp. "&amp;FIXED(I1179+O1179)&amp;" "</f>
        <v xml:space="preserve">Mutasi Kredit Rp. 0.00 </v>
      </c>
      <c r="D1184" s="354"/>
      <c r="E1184" s="354"/>
      <c r="F1184" s="354"/>
      <c r="G1184" s="354"/>
      <c r="H1184" s="354"/>
      <c r="I1184" s="354"/>
      <c r="J1184" s="354"/>
      <c r="K1184" s="354"/>
      <c r="L1184" s="354"/>
      <c r="M1184" s="354"/>
      <c r="N1184" s="354"/>
      <c r="O1184" s="354"/>
      <c r="P1184" s="354"/>
      <c r="Q1184" s="354"/>
      <c r="R1184" s="354"/>
      <c r="S1184" s="354"/>
      <c r="T1184" s="354"/>
      <c r="U1184" s="354"/>
      <c r="V1184" s="27"/>
    </row>
    <row r="1185" spans="1:32" s="20" customFormat="1" ht="15" customHeight="1">
      <c r="A1185" s="14"/>
      <c r="B1185" s="385"/>
      <c r="C1185" s="385"/>
      <c r="D1185" s="385"/>
      <c r="E1185" s="385"/>
      <c r="F1185" s="385"/>
      <c r="G1185" s="385"/>
      <c r="H1185" s="385"/>
      <c r="I1185" s="385"/>
      <c r="J1185" s="385"/>
      <c r="K1185" s="385"/>
      <c r="L1185" s="385"/>
      <c r="M1185" s="385"/>
      <c r="N1185" s="483"/>
      <c r="O1185" s="483"/>
      <c r="P1185" s="483"/>
      <c r="Q1185" s="483"/>
      <c r="R1185" s="483"/>
      <c r="S1185" s="483"/>
      <c r="T1185" s="483"/>
      <c r="U1185" s="483"/>
      <c r="V1185" s="27"/>
    </row>
    <row r="1186" spans="1:32" s="20" customFormat="1" ht="20.25" customHeight="1">
      <c r="A1186" s="14"/>
      <c r="B1186" s="774" t="s">
        <v>115</v>
      </c>
      <c r="C1186" s="775" t="str">
        <f>'[1]4.NERACA'!C107</f>
        <v>Tugu Peringatan</v>
      </c>
      <c r="D1186" s="775"/>
      <c r="E1186" s="775"/>
      <c r="F1186" s="775"/>
      <c r="G1186" s="775"/>
      <c r="H1186" s="775"/>
      <c r="I1186" s="775"/>
      <c r="J1186" s="775"/>
      <c r="K1186" s="775"/>
      <c r="L1186" s="775"/>
      <c r="M1186" s="775"/>
      <c r="N1186" s="775"/>
      <c r="O1186" s="775"/>
      <c r="P1186" s="775"/>
      <c r="Q1186" s="775"/>
      <c r="R1186" s="775"/>
      <c r="S1186" s="775"/>
      <c r="T1186" s="775"/>
      <c r="U1186" s="775"/>
      <c r="V1186" s="27"/>
    </row>
    <row r="1187" spans="1:32" s="20" customFormat="1" ht="68.25" customHeight="1">
      <c r="A1187" s="14"/>
      <c r="C1187" s="313" t="str">
        <f>"Nilai aset tetap berupa "&amp;C1186&amp;"  per "&amp;'[1]2.ISIAN DATA SKPD'!D8&amp;" dan  "&amp;'[1]2.ISIAN DATA SKPD'!D9&amp;" adalah sebesar Rp. "&amp;FIXED(R1192)&amp;" dan Rp. "&amp;FIXED(B1192)&amp;" mengalami kenaikan sebesar Rp. "&amp;FIXED(AC1188)&amp;" atau sebesar "&amp;FIXED(Y1188)&amp;"% dari tahun "&amp;'[1]2.ISIAN DATA SKPD'!D12&amp;"."</f>
        <v>Nilai aset tetap berupa Tugu Peringatan  per 31 Desember 2017 dan  31 Desember 2016 adalah sebesar Rp. 587,262,623.00 dan Rp. 0.00 mengalami kenaikan sebesar Rp. 587,262,623.00 atau sebesar 100.00% dari tahun 2016.</v>
      </c>
      <c r="D1187" s="313"/>
      <c r="E1187" s="313"/>
      <c r="F1187" s="313"/>
      <c r="G1187" s="313"/>
      <c r="H1187" s="313"/>
      <c r="I1187" s="313"/>
      <c r="J1187" s="313"/>
      <c r="K1187" s="313"/>
      <c r="L1187" s="313"/>
      <c r="M1187" s="313"/>
      <c r="N1187" s="313"/>
      <c r="O1187" s="313"/>
      <c r="P1187" s="313"/>
      <c r="Q1187" s="313"/>
      <c r="R1187" s="313"/>
      <c r="S1187" s="313"/>
      <c r="T1187" s="313"/>
      <c r="U1187" s="313"/>
      <c r="V1187" s="804"/>
      <c r="W1187" s="805"/>
      <c r="X1187" s="805"/>
      <c r="Y1187" s="208" t="s">
        <v>417</v>
      </c>
      <c r="Z1187" s="805"/>
      <c r="AA1187" s="805"/>
      <c r="AB1187" s="805"/>
      <c r="AC1187" s="712" t="s">
        <v>404</v>
      </c>
      <c r="AD1187" s="713"/>
      <c r="AE1187" s="713"/>
      <c r="AF1187" s="806"/>
    </row>
    <row r="1188" spans="1:32" s="20" customFormat="1" ht="17.25" customHeight="1">
      <c r="A1188" s="14"/>
      <c r="B1188" s="285"/>
      <c r="C1188" s="313" t="str">
        <f>"Dengan mutasi  selama tahun "&amp;'[1]2.ISIAN DATA SKPD'!D58&amp;" sebagai berikut :"</f>
        <v>Dengan mutasi  selama tahun  sebagai berikut :</v>
      </c>
      <c r="D1188" s="313"/>
      <c r="E1188" s="313"/>
      <c r="F1188" s="313"/>
      <c r="G1188" s="313"/>
      <c r="H1188" s="313"/>
      <c r="I1188" s="313"/>
      <c r="J1188" s="313"/>
      <c r="K1188" s="313"/>
      <c r="L1188" s="313"/>
      <c r="M1188" s="313"/>
      <c r="N1188" s="313"/>
      <c r="O1188" s="313"/>
      <c r="P1188" s="313"/>
      <c r="Q1188" s="313"/>
      <c r="R1188" s="313"/>
      <c r="S1188" s="313"/>
      <c r="T1188" s="313"/>
      <c r="U1188" s="313"/>
      <c r="V1188" s="856"/>
      <c r="W1188" s="857"/>
      <c r="X1188" s="857"/>
      <c r="Y1188" s="208">
        <v>100</v>
      </c>
      <c r="Z1188" s="805"/>
      <c r="AA1188" s="805"/>
      <c r="AB1188" s="805"/>
      <c r="AC1188" s="451">
        <f>R1192-B1192</f>
        <v>587262623</v>
      </c>
      <c r="AD1188" s="452"/>
      <c r="AE1188" s="452"/>
      <c r="AF1188" s="453"/>
    </row>
    <row r="1189" spans="1:32" s="20" customFormat="1" ht="15" customHeight="1">
      <c r="A1189" s="14"/>
      <c r="B1189" s="285"/>
      <c r="C1189" s="285"/>
      <c r="D1189" s="285"/>
      <c r="E1189" s="285"/>
      <c r="F1189" s="285"/>
      <c r="G1189" s="285"/>
      <c r="H1189" s="285"/>
      <c r="I1189" s="285"/>
      <c r="J1189" s="285"/>
      <c r="K1189" s="285"/>
      <c r="L1189" s="285"/>
      <c r="M1189" s="285"/>
      <c r="N1189" s="285"/>
      <c r="O1189" s="285"/>
      <c r="P1189" s="285"/>
      <c r="Q1189" s="285"/>
      <c r="R1189" s="285"/>
      <c r="S1189" s="285"/>
      <c r="T1189" s="285"/>
      <c r="U1189" s="285"/>
      <c r="V1189" s="804"/>
      <c r="W1189" s="805"/>
      <c r="X1189" s="805"/>
      <c r="Y1189" s="208" t="s">
        <v>417</v>
      </c>
      <c r="Z1189" s="805"/>
      <c r="AA1189" s="805"/>
      <c r="AB1189" s="805"/>
      <c r="AC1189" s="712" t="s">
        <v>404</v>
      </c>
      <c r="AD1189" s="713"/>
      <c r="AE1189" s="713"/>
      <c r="AF1189" s="806"/>
    </row>
    <row r="1190" spans="1:32" s="20" customFormat="1" ht="23.25" customHeight="1">
      <c r="A1190" s="726" t="s">
        <v>84</v>
      </c>
      <c r="B1190" s="727" t="s">
        <v>411</v>
      </c>
      <c r="C1190" s="728"/>
      <c r="D1190" s="728"/>
      <c r="E1190" s="729"/>
      <c r="F1190" s="730" t="s">
        <v>412</v>
      </c>
      <c r="G1190" s="730"/>
      <c r="H1190" s="730"/>
      <c r="I1190" s="730"/>
      <c r="J1190" s="730"/>
      <c r="K1190" s="730"/>
      <c r="L1190" s="730" t="s">
        <v>413</v>
      </c>
      <c r="M1190" s="730"/>
      <c r="N1190" s="730"/>
      <c r="O1190" s="730"/>
      <c r="P1190" s="730"/>
      <c r="Q1190" s="730"/>
      <c r="R1190" s="731" t="s">
        <v>414</v>
      </c>
      <c r="S1190" s="731"/>
      <c r="T1190" s="731"/>
      <c r="U1190" s="731"/>
      <c r="V1190" s="808"/>
      <c r="W1190" s="805"/>
      <c r="X1190" s="805"/>
      <c r="Y1190" s="208" t="e">
        <f>(#REF!-#REF!)/#REF!*100</f>
        <v>#REF!</v>
      </c>
      <c r="Z1190" s="805"/>
      <c r="AA1190" s="805"/>
      <c r="AB1190" s="805"/>
      <c r="AC1190" s="451" t="e">
        <f>#REF!-#REF!</f>
        <v>#REF!</v>
      </c>
      <c r="AD1190" s="452"/>
      <c r="AE1190" s="452"/>
      <c r="AF1190" s="453"/>
    </row>
    <row r="1191" spans="1:32" s="20" customFormat="1" ht="19.5" customHeight="1">
      <c r="A1191" s="732"/>
      <c r="B1191" s="733">
        <f>B1178</f>
        <v>2017</v>
      </c>
      <c r="C1191" s="734"/>
      <c r="D1191" s="734"/>
      <c r="E1191" s="735"/>
      <c r="F1191" s="731" t="s">
        <v>415</v>
      </c>
      <c r="G1191" s="731"/>
      <c r="H1191" s="731"/>
      <c r="I1191" s="731" t="s">
        <v>416</v>
      </c>
      <c r="J1191" s="731"/>
      <c r="K1191" s="731"/>
      <c r="L1191" s="731" t="s">
        <v>415</v>
      </c>
      <c r="M1191" s="731"/>
      <c r="N1191" s="731"/>
      <c r="O1191" s="736" t="s">
        <v>416</v>
      </c>
      <c r="P1191" s="736"/>
      <c r="Q1191" s="736"/>
      <c r="R1191" s="776">
        <f>R1178</f>
        <v>2017</v>
      </c>
      <c r="S1191" s="791"/>
      <c r="T1191" s="791"/>
      <c r="U1191" s="792"/>
    </row>
    <row r="1192" spans="1:32" s="20" customFormat="1" ht="33.75" customHeight="1">
      <c r="A1192" s="844" t="str">
        <f>C1186</f>
        <v>Tugu Peringatan</v>
      </c>
      <c r="B1192" s="853">
        <f>'[1]4.NERACA'!D107</f>
        <v>0</v>
      </c>
      <c r="C1192" s="854"/>
      <c r="D1192" s="854"/>
      <c r="E1192" s="855"/>
      <c r="F1192" s="837">
        <f>'[1]4.NERACA'!E107</f>
        <v>587262623</v>
      </c>
      <c r="G1192" s="838"/>
      <c r="H1192" s="839"/>
      <c r="I1192" s="853">
        <f>'[1]4.NERACA'!F15107</f>
        <v>0</v>
      </c>
      <c r="J1192" s="854"/>
      <c r="K1192" s="855"/>
      <c r="L1192" s="853">
        <f>'[1]4.NERACA'!G107</f>
        <v>0</v>
      </c>
      <c r="M1192" s="854"/>
      <c r="N1192" s="855"/>
      <c r="O1192" s="853">
        <f>'[1]4.NERACA'!H107</f>
        <v>0</v>
      </c>
      <c r="P1192" s="854"/>
      <c r="Q1192" s="855"/>
      <c r="R1192" s="853">
        <f>B1192+F1192-I1192+L1192-O1192</f>
        <v>587262623</v>
      </c>
      <c r="S1192" s="854"/>
      <c r="T1192" s="854"/>
      <c r="U1192" s="855"/>
    </row>
    <row r="1193" spans="1:32" s="20" customFormat="1" ht="18.75" customHeight="1">
      <c r="A1193" s="782"/>
      <c r="B1193" s="772" t="s">
        <v>436</v>
      </c>
      <c r="C1193" s="772"/>
      <c r="D1193" s="772"/>
      <c r="E1193" s="772"/>
      <c r="F1193" s="772"/>
      <c r="G1193" s="772"/>
      <c r="H1193" s="772"/>
      <c r="I1193" s="772"/>
      <c r="J1193" s="772"/>
      <c r="K1193" s="772"/>
      <c r="L1193" s="772"/>
      <c r="M1193" s="772"/>
      <c r="N1193" s="772"/>
      <c r="O1193" s="772"/>
      <c r="P1193" s="772"/>
      <c r="Q1193" s="772"/>
      <c r="R1193" s="772"/>
      <c r="S1193" s="772"/>
      <c r="T1193" s="772"/>
      <c r="U1193" s="772"/>
      <c r="V1193" s="27"/>
    </row>
    <row r="1194" spans="1:32" s="20" customFormat="1" ht="15" customHeight="1">
      <c r="A1194" s="782"/>
      <c r="B1194" s="442"/>
      <c r="C1194" s="428" t="str">
        <f>"a. Penambahan Aset sebesar Rp. "&amp;FIXED(F1192+L1192)&amp;" berasal dari :"</f>
        <v>a. Penambahan Aset sebesar Rp. 587,262,623.00 berasal dari :</v>
      </c>
      <c r="D1194" s="428"/>
      <c r="E1194" s="428"/>
      <c r="F1194" s="428"/>
      <c r="G1194" s="428"/>
      <c r="H1194" s="428"/>
      <c r="I1194" s="428"/>
      <c r="J1194" s="428"/>
      <c r="K1194" s="428"/>
      <c r="L1194" s="428"/>
      <c r="M1194" s="428"/>
      <c r="N1194" s="428"/>
      <c r="O1194" s="428"/>
      <c r="P1194" s="428"/>
      <c r="Q1194" s="428"/>
      <c r="R1194" s="428"/>
      <c r="S1194" s="428"/>
      <c r="T1194" s="428"/>
      <c r="U1194" s="428"/>
      <c r="V1194" s="27"/>
    </row>
    <row r="1195" spans="1:32" s="20" customFormat="1" ht="65.25" customHeight="1">
      <c r="A1195" s="782"/>
      <c r="B1195" s="442"/>
      <c r="C1195" s="357" t="s">
        <v>111</v>
      </c>
      <c r="D1195" s="152" t="s">
        <v>454</v>
      </c>
      <c r="E1195" s="152"/>
      <c r="F1195" s="152"/>
      <c r="G1195" s="152"/>
      <c r="H1195" s="152"/>
      <c r="I1195" s="152"/>
      <c r="J1195" s="152"/>
      <c r="K1195" s="152"/>
      <c r="L1195" s="152"/>
      <c r="M1195" s="152"/>
      <c r="N1195" s="152"/>
      <c r="O1195" s="152"/>
      <c r="P1195" s="152"/>
      <c r="Q1195" s="152"/>
      <c r="R1195" s="152"/>
      <c r="S1195" s="152"/>
      <c r="T1195" s="152"/>
      <c r="U1195" s="152"/>
      <c r="V1195" s="27"/>
    </row>
    <row r="1196" spans="1:32" s="20" customFormat="1" ht="4.5" customHeight="1">
      <c r="A1196" s="782"/>
      <c r="B1196" s="442"/>
      <c r="C1196" s="357"/>
      <c r="D1196" s="152"/>
      <c r="E1196" s="152"/>
      <c r="F1196" s="152"/>
      <c r="G1196" s="152"/>
      <c r="H1196" s="152"/>
      <c r="I1196" s="152"/>
      <c r="J1196" s="152"/>
      <c r="K1196" s="152"/>
      <c r="L1196" s="152"/>
      <c r="M1196" s="152"/>
      <c r="N1196" s="152"/>
      <c r="O1196" s="152"/>
      <c r="P1196" s="152"/>
      <c r="Q1196" s="152"/>
      <c r="R1196" s="152"/>
      <c r="S1196" s="152"/>
      <c r="T1196" s="152"/>
      <c r="U1196" s="152"/>
      <c r="V1196" s="27"/>
    </row>
    <row r="1197" spans="1:32" s="20" customFormat="1" ht="7.5" customHeight="1">
      <c r="A1197" s="782"/>
      <c r="B1197" s="442"/>
      <c r="C1197" s="357"/>
      <c r="D1197" s="152"/>
      <c r="E1197" s="152"/>
      <c r="F1197" s="152"/>
      <c r="G1197" s="152"/>
      <c r="H1197" s="152"/>
      <c r="I1197" s="152"/>
      <c r="J1197" s="152"/>
      <c r="K1197" s="152"/>
      <c r="L1197" s="152"/>
      <c r="M1197" s="152"/>
      <c r="N1197" s="152"/>
      <c r="O1197" s="152"/>
      <c r="P1197" s="152"/>
      <c r="Q1197" s="152"/>
      <c r="R1197" s="152"/>
      <c r="S1197" s="152"/>
      <c r="T1197" s="152"/>
      <c r="U1197" s="152"/>
      <c r="V1197" s="27"/>
    </row>
    <row r="1198" spans="1:32" s="20" customFormat="1" ht="26.25" customHeight="1">
      <c r="A1198" s="782"/>
      <c r="B1198" s="442"/>
      <c r="C1198" s="428" t="str">
        <f>"b. Pengurangan Aset sebesar Rp. "&amp;FIXED(I1192+O1192)&amp;" :"</f>
        <v>b. Pengurangan Aset sebesar Rp. 0.00 :</v>
      </c>
      <c r="D1198" s="428"/>
      <c r="E1198" s="428"/>
      <c r="F1198" s="428"/>
      <c r="G1198" s="428"/>
      <c r="H1198" s="428"/>
      <c r="I1198" s="428"/>
      <c r="J1198" s="428"/>
      <c r="K1198" s="428"/>
      <c r="L1198" s="428"/>
      <c r="M1198" s="428"/>
      <c r="N1198" s="428"/>
      <c r="O1198" s="428"/>
      <c r="P1198" s="428"/>
      <c r="Q1198" s="428"/>
      <c r="R1198" s="428"/>
      <c r="S1198" s="428"/>
      <c r="T1198" s="428"/>
      <c r="U1198" s="428"/>
      <c r="V1198" s="27"/>
    </row>
    <row r="1199" spans="1:32" s="20" customFormat="1" ht="23.25" hidden="1" customHeight="1">
      <c r="A1199" s="782"/>
      <c r="B1199" s="784"/>
      <c r="C1199" s="357"/>
      <c r="D1199" s="152"/>
      <c r="E1199" s="152"/>
      <c r="F1199" s="152"/>
      <c r="G1199" s="152"/>
      <c r="H1199" s="152"/>
      <c r="I1199" s="152"/>
      <c r="J1199" s="152"/>
      <c r="K1199" s="152"/>
      <c r="L1199" s="152"/>
      <c r="M1199" s="152"/>
      <c r="N1199" s="152"/>
      <c r="O1199" s="152"/>
      <c r="P1199" s="152"/>
      <c r="Q1199" s="152"/>
      <c r="R1199" s="152"/>
      <c r="S1199" s="152"/>
      <c r="T1199" s="152"/>
      <c r="U1199" s="152"/>
      <c r="V1199" s="27"/>
    </row>
    <row r="1200" spans="1:32" s="20" customFormat="1" ht="8.25" customHeight="1">
      <c r="A1200" s="782"/>
      <c r="B1200" s="784"/>
      <c r="C1200" s="357"/>
      <c r="D1200" s="152"/>
      <c r="E1200" s="152"/>
      <c r="F1200" s="152"/>
      <c r="G1200" s="152"/>
      <c r="H1200" s="152"/>
      <c r="I1200" s="152"/>
      <c r="J1200" s="152"/>
      <c r="K1200" s="152"/>
      <c r="L1200" s="152"/>
      <c r="M1200" s="152"/>
      <c r="N1200" s="152"/>
      <c r="O1200" s="152"/>
      <c r="P1200" s="152"/>
      <c r="Q1200" s="152"/>
      <c r="R1200" s="152"/>
      <c r="S1200" s="152"/>
      <c r="T1200" s="152"/>
      <c r="U1200" s="152"/>
      <c r="V1200" s="27"/>
    </row>
    <row r="1201" spans="1:32" s="20" customFormat="1" ht="1.5" customHeight="1">
      <c r="A1201" s="782"/>
      <c r="B1201" s="784"/>
      <c r="C1201" s="357"/>
      <c r="D1201" s="152"/>
      <c r="E1201" s="152"/>
      <c r="F1201" s="152"/>
      <c r="G1201" s="152"/>
      <c r="H1201" s="152"/>
      <c r="I1201" s="152"/>
      <c r="J1201" s="152"/>
      <c r="K1201" s="152"/>
      <c r="L1201" s="152"/>
      <c r="M1201" s="152"/>
      <c r="N1201" s="152"/>
      <c r="O1201" s="152"/>
      <c r="P1201" s="152"/>
      <c r="Q1201" s="152"/>
      <c r="R1201" s="152"/>
      <c r="S1201" s="152"/>
      <c r="T1201" s="152"/>
      <c r="U1201" s="152"/>
    </row>
    <row r="1202" spans="1:32" s="20" customFormat="1" ht="0.75" customHeight="1">
      <c r="A1202" s="14"/>
      <c r="C1202" s="285"/>
      <c r="D1202" s="285"/>
      <c r="E1202" s="285"/>
      <c r="F1202" s="285"/>
      <c r="G1202" s="285"/>
      <c r="H1202" s="285"/>
      <c r="I1202" s="285"/>
      <c r="J1202" s="285"/>
      <c r="K1202" s="285"/>
      <c r="L1202" s="285"/>
      <c r="M1202" s="285"/>
      <c r="N1202" s="285"/>
      <c r="O1202" s="285"/>
      <c r="P1202" s="285"/>
      <c r="Q1202" s="285"/>
      <c r="R1202" s="285"/>
      <c r="S1202" s="285"/>
      <c r="T1202" s="285"/>
      <c r="U1202" s="285"/>
    </row>
    <row r="1203" spans="1:32" s="20" customFormat="1" ht="3.75" customHeight="1">
      <c r="A1203" s="782"/>
      <c r="B1203" s="428"/>
      <c r="C1203" s="428"/>
      <c r="D1203" s="428"/>
      <c r="E1203" s="428"/>
      <c r="F1203" s="428"/>
      <c r="G1203" s="428"/>
      <c r="H1203" s="428"/>
      <c r="I1203" s="428"/>
      <c r="J1203" s="428"/>
      <c r="K1203" s="428"/>
      <c r="L1203" s="428"/>
      <c r="M1203" s="428"/>
      <c r="N1203" s="428"/>
      <c r="O1203" s="428"/>
      <c r="P1203" s="428"/>
      <c r="Q1203" s="428"/>
      <c r="R1203" s="428"/>
      <c r="S1203" s="428"/>
      <c r="T1203" s="428"/>
      <c r="U1203" s="428"/>
      <c r="V1203" s="27"/>
    </row>
    <row r="1204" spans="1:32" s="20" customFormat="1" ht="27.75" customHeight="1">
      <c r="A1204" s="14"/>
      <c r="B1204" s="774" t="s">
        <v>284</v>
      </c>
      <c r="C1204" s="775" t="str">
        <f>'[1]4.NERACA'!C109</f>
        <v>Monumen/Bangunan Bersejarah</v>
      </c>
      <c r="D1204" s="775"/>
      <c r="E1204" s="775"/>
      <c r="F1204" s="775"/>
      <c r="G1204" s="775"/>
      <c r="H1204" s="775"/>
      <c r="I1204" s="775"/>
      <c r="J1204" s="775"/>
      <c r="K1204" s="775"/>
      <c r="L1204" s="775"/>
      <c r="M1204" s="775"/>
      <c r="N1204" s="775"/>
      <c r="O1204" s="775"/>
      <c r="P1204" s="775"/>
      <c r="Q1204" s="775"/>
      <c r="R1204" s="775"/>
      <c r="S1204" s="775"/>
      <c r="T1204" s="775"/>
      <c r="U1204" s="775"/>
      <c r="V1204" s="27"/>
    </row>
    <row r="1205" spans="1:32" s="20" customFormat="1" ht="64.5" customHeight="1">
      <c r="A1205" s="14"/>
      <c r="C1205" s="313" t="str">
        <f>"Nilai aset tetap berupa "&amp;C1204&amp;"  per "&amp;'[1]2.ISIAN DATA SKPD'!D8&amp;" dan  "&amp;'[1]2.ISIAN DATA SKPD'!D12&amp;" adalah sebesar Rp. "&amp;FIXED(R1210)&amp;" dan Rp. "&amp;FIXED(B1210)&amp;" tidak mengalami kenaikan dan penurunan sebesar Rp. "&amp;FIXED(AC1210)&amp;" atau sebesar "&amp;FIXED(Y1210)&amp;"% dari tahun "&amp;'[1]2.ISIAN DATA SKPD'!D12&amp;"."</f>
        <v>Nilai aset tetap berupa Monumen/Bangunan Bersejarah  per 31 Desember 2017 dan  2016 adalah sebesar Rp. 0.00 dan Rp. 0.00 tidak mengalami kenaikan dan penurunan sebesar Rp. 0.00 atau sebesar 0.00% dari tahun 2016.</v>
      </c>
      <c r="D1205" s="313"/>
      <c r="E1205" s="313"/>
      <c r="F1205" s="313"/>
      <c r="G1205" s="313"/>
      <c r="H1205" s="313"/>
      <c r="I1205" s="313"/>
      <c r="J1205" s="313"/>
      <c r="K1205" s="313"/>
      <c r="L1205" s="313"/>
      <c r="M1205" s="313"/>
      <c r="N1205" s="313"/>
      <c r="O1205" s="313"/>
      <c r="P1205" s="313"/>
      <c r="Q1205" s="313"/>
      <c r="R1205" s="313"/>
      <c r="S1205" s="313"/>
      <c r="T1205" s="313"/>
      <c r="U1205" s="313"/>
      <c r="V1205" s="27"/>
    </row>
    <row r="1206" spans="1:32" s="20" customFormat="1" ht="18.75" customHeight="1">
      <c r="A1206" s="14"/>
      <c r="B1206" s="285"/>
      <c r="C1206" s="313" t="str">
        <f>"Dengan mutasi  selama tahun "&amp;'[1]2.ISIAN DATA SKPD'!D11&amp;" sebagai berikut :"</f>
        <v>Dengan mutasi  selama tahun 2017 sebagai berikut :</v>
      </c>
      <c r="D1206" s="313"/>
      <c r="E1206" s="313"/>
      <c r="F1206" s="313"/>
      <c r="G1206" s="313"/>
      <c r="H1206" s="313"/>
      <c r="I1206" s="313"/>
      <c r="J1206" s="313"/>
      <c r="K1206" s="313"/>
      <c r="L1206" s="313"/>
      <c r="M1206" s="313"/>
      <c r="N1206" s="313"/>
      <c r="O1206" s="313"/>
      <c r="P1206" s="313"/>
      <c r="Q1206" s="313"/>
      <c r="R1206" s="313"/>
      <c r="S1206" s="313"/>
      <c r="T1206" s="313"/>
      <c r="U1206" s="313"/>
      <c r="V1206" s="27"/>
    </row>
    <row r="1207" spans="1:32" s="20" customFormat="1" ht="15" customHeight="1">
      <c r="A1207" s="14"/>
      <c r="B1207" s="285"/>
      <c r="C1207" s="285"/>
      <c r="D1207" s="285"/>
      <c r="E1207" s="285"/>
      <c r="F1207" s="285"/>
      <c r="G1207" s="285"/>
      <c r="H1207" s="285"/>
      <c r="I1207" s="285"/>
      <c r="J1207" s="285"/>
      <c r="K1207" s="285"/>
      <c r="L1207" s="285"/>
      <c r="M1207" s="285"/>
      <c r="N1207" s="285"/>
      <c r="O1207" s="285"/>
      <c r="P1207" s="285"/>
      <c r="Q1207" s="285"/>
      <c r="R1207" s="285"/>
      <c r="S1207" s="285"/>
      <c r="T1207" s="285"/>
      <c r="U1207" s="285"/>
      <c r="V1207" s="27"/>
    </row>
    <row r="1208" spans="1:32" s="20" customFormat="1" ht="21" customHeight="1">
      <c r="A1208" s="726" t="s">
        <v>84</v>
      </c>
      <c r="B1208" s="727" t="s">
        <v>411</v>
      </c>
      <c r="C1208" s="728"/>
      <c r="D1208" s="728"/>
      <c r="E1208" s="729"/>
      <c r="F1208" s="730" t="s">
        <v>412</v>
      </c>
      <c r="G1208" s="730"/>
      <c r="H1208" s="730"/>
      <c r="I1208" s="730"/>
      <c r="J1208" s="730"/>
      <c r="K1208" s="730"/>
      <c r="L1208" s="730" t="s">
        <v>413</v>
      </c>
      <c r="M1208" s="730"/>
      <c r="N1208" s="730"/>
      <c r="O1208" s="730"/>
      <c r="P1208" s="730"/>
      <c r="Q1208" s="730"/>
      <c r="R1208" s="731" t="s">
        <v>414</v>
      </c>
      <c r="S1208" s="731"/>
      <c r="T1208" s="731"/>
      <c r="U1208" s="731"/>
      <c r="V1208" s="27"/>
    </row>
    <row r="1209" spans="1:32" s="20" customFormat="1" ht="18" customHeight="1">
      <c r="A1209" s="732"/>
      <c r="B1209" s="733">
        <f>B1191</f>
        <v>2017</v>
      </c>
      <c r="C1209" s="734"/>
      <c r="D1209" s="734"/>
      <c r="E1209" s="735"/>
      <c r="F1209" s="731" t="s">
        <v>415</v>
      </c>
      <c r="G1209" s="731"/>
      <c r="H1209" s="731"/>
      <c r="I1209" s="731" t="s">
        <v>416</v>
      </c>
      <c r="J1209" s="731"/>
      <c r="K1209" s="731"/>
      <c r="L1209" s="731" t="s">
        <v>415</v>
      </c>
      <c r="M1209" s="731"/>
      <c r="N1209" s="731"/>
      <c r="O1209" s="736" t="s">
        <v>416</v>
      </c>
      <c r="P1209" s="736"/>
      <c r="Q1209" s="736"/>
      <c r="R1209" s="776">
        <f>R1191</f>
        <v>2017</v>
      </c>
      <c r="S1209" s="791"/>
      <c r="T1209" s="791"/>
      <c r="U1209" s="792"/>
      <c r="V1209" s="804"/>
      <c r="W1209" s="805"/>
      <c r="X1209" s="805"/>
      <c r="Y1209" s="208" t="s">
        <v>417</v>
      </c>
      <c r="Z1209" s="805"/>
      <c r="AA1209" s="805"/>
      <c r="AB1209" s="805"/>
      <c r="AC1209" s="712" t="s">
        <v>404</v>
      </c>
      <c r="AD1209" s="713"/>
      <c r="AE1209" s="713"/>
      <c r="AF1209" s="806"/>
    </row>
    <row r="1210" spans="1:32" s="20" customFormat="1" ht="40.5" customHeight="1">
      <c r="A1210" s="868" t="str">
        <f>C1204</f>
        <v>Monumen/Bangunan Bersejarah</v>
      </c>
      <c r="B1210" s="853">
        <f>'[1]4.NERACA'!D108</f>
        <v>0</v>
      </c>
      <c r="C1210" s="854"/>
      <c r="D1210" s="854"/>
      <c r="E1210" s="855"/>
      <c r="F1210" s="853">
        <f>'[1]4.NERACA'!E108</f>
        <v>0</v>
      </c>
      <c r="G1210" s="854"/>
      <c r="H1210" s="855"/>
      <c r="I1210" s="853">
        <f>'[1]4.NERACA'!F108</f>
        <v>0</v>
      </c>
      <c r="J1210" s="854"/>
      <c r="K1210" s="855"/>
      <c r="L1210" s="853">
        <f>'[1]4.NERACA'!G108</f>
        <v>0</v>
      </c>
      <c r="M1210" s="854"/>
      <c r="N1210" s="855"/>
      <c r="O1210" s="853">
        <f>'[1]4.NERACA'!H108</f>
        <v>0</v>
      </c>
      <c r="P1210" s="854"/>
      <c r="Q1210" s="855"/>
      <c r="R1210" s="853">
        <f>B1210+F1210-I1210+L1210-O1210</f>
        <v>0</v>
      </c>
      <c r="S1210" s="854"/>
      <c r="T1210" s="854"/>
      <c r="U1210" s="855"/>
      <c r="V1210" s="808"/>
      <c r="W1210" s="805"/>
      <c r="X1210" s="805"/>
      <c r="Y1210" s="208">
        <v>0</v>
      </c>
      <c r="Z1210" s="805"/>
      <c r="AA1210" s="805"/>
      <c r="AB1210" s="805"/>
      <c r="AC1210" s="451">
        <f>R1210-B1210</f>
        <v>0</v>
      </c>
      <c r="AD1210" s="452"/>
      <c r="AE1210" s="452"/>
      <c r="AF1210" s="453"/>
    </row>
    <row r="1211" spans="1:32" s="20" customFormat="1" ht="15" customHeight="1">
      <c r="A1211" s="782"/>
      <c r="B1211" s="772" t="s">
        <v>436</v>
      </c>
      <c r="C1211" s="772"/>
      <c r="D1211" s="772"/>
      <c r="E1211" s="772"/>
      <c r="F1211" s="772"/>
      <c r="G1211" s="772"/>
      <c r="H1211" s="772"/>
      <c r="I1211" s="772"/>
      <c r="J1211" s="772"/>
      <c r="K1211" s="772"/>
      <c r="L1211" s="772"/>
      <c r="M1211" s="772"/>
      <c r="N1211" s="772"/>
      <c r="O1211" s="772"/>
      <c r="P1211" s="772"/>
      <c r="Q1211" s="772"/>
      <c r="R1211" s="772"/>
      <c r="S1211" s="772"/>
      <c r="T1211" s="772"/>
      <c r="U1211" s="772"/>
      <c r="V1211" s="27"/>
    </row>
    <row r="1212" spans="1:32" s="20" customFormat="1" ht="21.75" customHeight="1">
      <c r="A1212" s="782"/>
      <c r="B1212" s="442"/>
      <c r="C1212" s="428" t="s">
        <v>428</v>
      </c>
      <c r="D1212" s="428"/>
      <c r="E1212" s="428"/>
      <c r="F1212" s="428"/>
      <c r="G1212" s="428"/>
      <c r="H1212" s="428"/>
      <c r="I1212" s="428"/>
      <c r="J1212" s="428"/>
      <c r="K1212" s="428"/>
      <c r="L1212" s="428"/>
      <c r="M1212" s="428"/>
      <c r="N1212" s="428"/>
      <c r="O1212" s="428"/>
      <c r="P1212" s="428"/>
      <c r="Q1212" s="428"/>
      <c r="R1212" s="428"/>
      <c r="S1212" s="428"/>
      <c r="T1212" s="428"/>
      <c r="U1212" s="428"/>
      <c r="V1212" s="27"/>
    </row>
    <row r="1213" spans="1:32" s="20" customFormat="1" ht="21.75" customHeight="1">
      <c r="A1213" s="782"/>
      <c r="B1213" s="442"/>
      <c r="C1213" s="354" t="str">
        <f>"Mutasi Debet sebesar Rp. "&amp;FIXED(F1210+L1210)&amp;" ."</f>
        <v>Mutasi Debet sebesar Rp. 0.00 .</v>
      </c>
      <c r="D1213" s="354"/>
      <c r="E1213" s="354"/>
      <c r="F1213" s="354"/>
      <c r="G1213" s="354"/>
      <c r="H1213" s="354"/>
      <c r="I1213" s="354"/>
      <c r="J1213" s="354"/>
      <c r="K1213" s="354"/>
      <c r="L1213" s="354"/>
      <c r="M1213" s="354"/>
      <c r="N1213" s="354"/>
      <c r="O1213" s="354"/>
      <c r="P1213" s="354"/>
      <c r="Q1213" s="354"/>
      <c r="R1213" s="354"/>
      <c r="S1213" s="354"/>
      <c r="T1213" s="354"/>
      <c r="U1213" s="354"/>
      <c r="V1213" s="27"/>
    </row>
    <row r="1214" spans="1:32" s="20" customFormat="1" ht="17.25" customHeight="1">
      <c r="A1214" s="782"/>
      <c r="B1214" s="442"/>
      <c r="C1214" s="428" t="s">
        <v>430</v>
      </c>
      <c r="D1214" s="428"/>
      <c r="E1214" s="428"/>
      <c r="F1214" s="428"/>
      <c r="G1214" s="428"/>
      <c r="H1214" s="428"/>
      <c r="I1214" s="428"/>
      <c r="J1214" s="428"/>
      <c r="K1214" s="428"/>
      <c r="L1214" s="428"/>
      <c r="M1214" s="428"/>
      <c r="N1214" s="428"/>
      <c r="O1214" s="428"/>
      <c r="P1214" s="428"/>
      <c r="Q1214" s="428"/>
      <c r="R1214" s="428"/>
      <c r="S1214" s="428"/>
      <c r="T1214" s="428"/>
      <c r="U1214" s="428"/>
      <c r="V1214" s="27"/>
    </row>
    <row r="1215" spans="1:32" s="20" customFormat="1" ht="15" customHeight="1">
      <c r="A1215" s="782"/>
      <c r="B1215" s="442"/>
      <c r="C1215" s="354" t="str">
        <f>"Mutasi Kredit sebesar Rp. "&amp;FIXED(I1210+O1210)&amp;" "</f>
        <v xml:space="preserve">Mutasi Kredit sebesar Rp. 0.00 </v>
      </c>
      <c r="D1215" s="354"/>
      <c r="E1215" s="354"/>
      <c r="F1215" s="354"/>
      <c r="G1215" s="354"/>
      <c r="H1215" s="354"/>
      <c r="I1215" s="354"/>
      <c r="J1215" s="354"/>
      <c r="K1215" s="354"/>
      <c r="L1215" s="354"/>
      <c r="M1215" s="354"/>
      <c r="N1215" s="354"/>
      <c r="O1215" s="354"/>
      <c r="P1215" s="354"/>
      <c r="Q1215" s="354"/>
      <c r="R1215" s="354"/>
      <c r="S1215" s="354"/>
      <c r="T1215" s="354"/>
      <c r="U1215" s="354"/>
      <c r="V1215" s="27"/>
    </row>
    <row r="1216" spans="1:32" s="20" customFormat="1" ht="18" customHeight="1">
      <c r="A1216" s="782"/>
      <c r="B1216" s="784"/>
      <c r="C1216" s="357"/>
      <c r="D1216" s="357"/>
      <c r="E1216" s="357"/>
      <c r="F1216" s="357"/>
      <c r="G1216" s="357"/>
      <c r="H1216" s="357"/>
      <c r="I1216" s="357"/>
      <c r="J1216" s="357"/>
      <c r="K1216" s="357"/>
      <c r="L1216" s="357"/>
      <c r="M1216" s="357"/>
      <c r="N1216" s="357"/>
      <c r="O1216" s="357"/>
      <c r="P1216" s="357"/>
      <c r="Q1216" s="357"/>
      <c r="R1216" s="357"/>
      <c r="S1216" s="357"/>
      <c r="T1216" s="357"/>
      <c r="U1216" s="357"/>
      <c r="V1216" s="27"/>
    </row>
    <row r="1217" spans="1:32" s="20" customFormat="1" ht="21" customHeight="1">
      <c r="A1217" s="14"/>
      <c r="B1217" s="774" t="s">
        <v>440</v>
      </c>
      <c r="C1217" s="775" t="str">
        <f>'[1]4.NERACA'!C110</f>
        <v>Tugu Titik Kontrol/Pasti</v>
      </c>
      <c r="D1217" s="775"/>
      <c r="E1217" s="775"/>
      <c r="F1217" s="775"/>
      <c r="G1217" s="775"/>
      <c r="H1217" s="775"/>
      <c r="I1217" s="775"/>
      <c r="J1217" s="775"/>
      <c r="K1217" s="775"/>
      <c r="L1217" s="775"/>
      <c r="M1217" s="775"/>
      <c r="N1217" s="775"/>
      <c r="O1217" s="775"/>
      <c r="P1217" s="775"/>
      <c r="Q1217" s="775"/>
      <c r="R1217" s="775"/>
      <c r="S1217" s="775"/>
      <c r="T1217" s="775"/>
      <c r="U1217" s="775"/>
      <c r="V1217" s="27"/>
    </row>
    <row r="1218" spans="1:32" s="20" customFormat="1" ht="68.25" customHeight="1">
      <c r="A1218" s="14"/>
      <c r="C1218" s="313" t="str">
        <f>"Nilai aset tetap berupa "&amp;C1217&amp;"  per "&amp;'[1]2.ISIAN DATA SKPD'!D8&amp;" dan  "&amp;'[1]2.ISIAN DATA SKPD'!D12&amp;" adalah sebesar Rp. "&amp;FIXED(R1223)&amp;" dan Rp. "&amp;FIXED(B1223)&amp;" mengalami kenaikan/penurunan sebesar Rp. "&amp;FIXED(AC1223)&amp;" atau sebesar "&amp;FIXED(Y1223)&amp;"% dari tahun "&amp;'[1]2.ISIAN DATA SKPD'!D12&amp;"."</f>
        <v>Nilai aset tetap berupa Tugu Titik Kontrol/Pasti  per 31 Desember 2017 dan  2016 adalah sebesar Rp. 0.00 dan Rp. 0.00 mengalami kenaikan/penurunan sebesar Rp. 0.00 atau sebesar 0.00% dari tahun 2016.</v>
      </c>
      <c r="D1218" s="313"/>
      <c r="E1218" s="313"/>
      <c r="F1218" s="313"/>
      <c r="G1218" s="313"/>
      <c r="H1218" s="313"/>
      <c r="I1218" s="313"/>
      <c r="J1218" s="313"/>
      <c r="K1218" s="313"/>
      <c r="L1218" s="313"/>
      <c r="M1218" s="313"/>
      <c r="N1218" s="313"/>
      <c r="O1218" s="313"/>
      <c r="P1218" s="313"/>
      <c r="Q1218" s="313"/>
      <c r="R1218" s="313"/>
      <c r="S1218" s="313"/>
      <c r="T1218" s="313"/>
      <c r="U1218" s="313"/>
      <c r="V1218" s="27"/>
    </row>
    <row r="1219" spans="1:32" s="20" customFormat="1" ht="15" customHeight="1">
      <c r="A1219" s="14"/>
      <c r="B1219" s="285"/>
      <c r="C1219" s="313" t="str">
        <f>"Dengan mutasi  selama tahun "&amp;'[1]2.ISIAN DATA SKPD'!D11&amp;" sebagai berikut :"</f>
        <v>Dengan mutasi  selama tahun 2017 sebagai berikut :</v>
      </c>
      <c r="D1219" s="313"/>
      <c r="E1219" s="313"/>
      <c r="F1219" s="313"/>
      <c r="G1219" s="313"/>
      <c r="H1219" s="313"/>
      <c r="I1219" s="313"/>
      <c r="J1219" s="313"/>
      <c r="K1219" s="313"/>
      <c r="L1219" s="313"/>
      <c r="M1219" s="313"/>
      <c r="N1219" s="313"/>
      <c r="O1219" s="313"/>
      <c r="P1219" s="313"/>
      <c r="Q1219" s="313"/>
      <c r="R1219" s="313"/>
      <c r="S1219" s="313"/>
      <c r="T1219" s="313"/>
      <c r="U1219" s="313"/>
      <c r="V1219" s="27"/>
    </row>
    <row r="1220" spans="1:32" s="20" customFormat="1" ht="20.25" customHeight="1">
      <c r="A1220" s="14"/>
      <c r="B1220" s="285"/>
      <c r="C1220" s="285"/>
      <c r="D1220" s="285"/>
      <c r="E1220" s="285"/>
      <c r="F1220" s="285"/>
      <c r="G1220" s="285"/>
      <c r="H1220" s="285"/>
      <c r="I1220" s="285"/>
      <c r="J1220" s="285"/>
      <c r="K1220" s="285"/>
      <c r="L1220" s="285"/>
      <c r="M1220" s="285"/>
      <c r="N1220" s="285"/>
      <c r="O1220" s="285"/>
      <c r="P1220" s="285"/>
      <c r="Q1220" s="285"/>
      <c r="R1220" s="285"/>
      <c r="S1220" s="285"/>
      <c r="T1220" s="285"/>
      <c r="U1220" s="285"/>
      <c r="V1220" s="27"/>
    </row>
    <row r="1221" spans="1:32" s="20" customFormat="1" ht="22.5" customHeight="1">
      <c r="A1221" s="726" t="s">
        <v>84</v>
      </c>
      <c r="B1221" s="727" t="s">
        <v>411</v>
      </c>
      <c r="C1221" s="728"/>
      <c r="D1221" s="728"/>
      <c r="E1221" s="729"/>
      <c r="F1221" s="730" t="s">
        <v>412</v>
      </c>
      <c r="G1221" s="730"/>
      <c r="H1221" s="730"/>
      <c r="I1221" s="730"/>
      <c r="J1221" s="730"/>
      <c r="K1221" s="730"/>
      <c r="L1221" s="730" t="s">
        <v>413</v>
      </c>
      <c r="M1221" s="730"/>
      <c r="N1221" s="730"/>
      <c r="O1221" s="730"/>
      <c r="P1221" s="730"/>
      <c r="Q1221" s="730"/>
      <c r="R1221" s="731" t="s">
        <v>414</v>
      </c>
      <c r="S1221" s="731"/>
      <c r="T1221" s="731"/>
      <c r="U1221" s="731"/>
      <c r="V1221" s="27"/>
    </row>
    <row r="1222" spans="1:32" s="20" customFormat="1" ht="27" customHeight="1">
      <c r="A1222" s="732"/>
      <c r="B1222" s="733">
        <f>B1209</f>
        <v>2017</v>
      </c>
      <c r="C1222" s="734"/>
      <c r="D1222" s="734"/>
      <c r="E1222" s="735"/>
      <c r="F1222" s="731" t="s">
        <v>415</v>
      </c>
      <c r="G1222" s="731"/>
      <c r="H1222" s="731"/>
      <c r="I1222" s="731" t="s">
        <v>416</v>
      </c>
      <c r="J1222" s="731"/>
      <c r="K1222" s="731"/>
      <c r="L1222" s="731" t="s">
        <v>415</v>
      </c>
      <c r="M1222" s="731"/>
      <c r="N1222" s="731"/>
      <c r="O1222" s="736" t="s">
        <v>416</v>
      </c>
      <c r="P1222" s="736"/>
      <c r="Q1222" s="736"/>
      <c r="R1222" s="776">
        <f>R1209</f>
        <v>2017</v>
      </c>
      <c r="S1222" s="791"/>
      <c r="T1222" s="791"/>
      <c r="U1222" s="792"/>
      <c r="V1222" s="804"/>
      <c r="W1222" s="805"/>
      <c r="X1222" s="805"/>
      <c r="Y1222" s="208" t="s">
        <v>417</v>
      </c>
      <c r="Z1222" s="805"/>
      <c r="AA1222" s="805"/>
      <c r="AB1222" s="805"/>
      <c r="AC1222" s="712" t="s">
        <v>404</v>
      </c>
      <c r="AD1222" s="713"/>
      <c r="AE1222" s="713"/>
      <c r="AF1222" s="806"/>
    </row>
    <row r="1223" spans="1:32" s="20" customFormat="1" ht="27.75" customHeight="1">
      <c r="A1223" s="771" t="str">
        <f>C1217</f>
        <v>Tugu Titik Kontrol/Pasti</v>
      </c>
      <c r="B1223" s="853">
        <f>'[1]4.NERACA'!D109</f>
        <v>0</v>
      </c>
      <c r="C1223" s="854"/>
      <c r="D1223" s="854"/>
      <c r="E1223" s="855"/>
      <c r="F1223" s="853">
        <f>'[1]4.NERACA'!E109</f>
        <v>0</v>
      </c>
      <c r="G1223" s="854"/>
      <c r="H1223" s="855"/>
      <c r="I1223" s="853">
        <f>'[1]4.NERACA'!F109</f>
        <v>0</v>
      </c>
      <c r="J1223" s="854"/>
      <c r="K1223" s="855"/>
      <c r="L1223" s="853">
        <f>'[1]4.NERACA'!G109</f>
        <v>0</v>
      </c>
      <c r="M1223" s="854"/>
      <c r="N1223" s="855"/>
      <c r="O1223" s="853">
        <f>'[1]4.NERACA'!H109</f>
        <v>0</v>
      </c>
      <c r="P1223" s="854"/>
      <c r="Q1223" s="855"/>
      <c r="R1223" s="853">
        <f>B1223+F1223-I1223+L1223-O1223</f>
        <v>0</v>
      </c>
      <c r="S1223" s="854"/>
      <c r="T1223" s="854"/>
      <c r="U1223" s="855"/>
      <c r="V1223" s="808"/>
      <c r="W1223" s="805"/>
      <c r="X1223" s="805"/>
      <c r="Y1223" s="208">
        <v>0</v>
      </c>
      <c r="Z1223" s="805"/>
      <c r="AA1223" s="805"/>
      <c r="AB1223" s="805"/>
      <c r="AC1223" s="451">
        <f>R1223-B1223</f>
        <v>0</v>
      </c>
      <c r="AD1223" s="452"/>
      <c r="AE1223" s="452"/>
      <c r="AF1223" s="453"/>
    </row>
    <row r="1224" spans="1:32" s="20" customFormat="1" ht="15" customHeight="1">
      <c r="A1224" s="782"/>
      <c r="B1224" s="772" t="s">
        <v>436</v>
      </c>
      <c r="C1224" s="772"/>
      <c r="D1224" s="772"/>
      <c r="E1224" s="772"/>
      <c r="F1224" s="772"/>
      <c r="G1224" s="772"/>
      <c r="H1224" s="772"/>
      <c r="I1224" s="772"/>
      <c r="J1224" s="772"/>
      <c r="K1224" s="772"/>
      <c r="L1224" s="772"/>
      <c r="M1224" s="772"/>
      <c r="N1224" s="772"/>
      <c r="O1224" s="772"/>
      <c r="P1224" s="772"/>
      <c r="Q1224" s="772"/>
      <c r="R1224" s="772"/>
      <c r="S1224" s="772"/>
      <c r="T1224" s="772"/>
      <c r="U1224" s="772"/>
      <c r="V1224" s="27"/>
    </row>
    <row r="1225" spans="1:32" s="20" customFormat="1" ht="17.25" customHeight="1">
      <c r="A1225" s="782"/>
      <c r="B1225" s="442"/>
      <c r="C1225" s="428" t="s">
        <v>428</v>
      </c>
      <c r="D1225" s="428"/>
      <c r="E1225" s="428"/>
      <c r="F1225" s="428"/>
      <c r="G1225" s="428"/>
      <c r="H1225" s="428"/>
      <c r="I1225" s="428"/>
      <c r="J1225" s="428"/>
      <c r="K1225" s="428"/>
      <c r="L1225" s="428"/>
      <c r="M1225" s="428"/>
      <c r="N1225" s="428"/>
      <c r="O1225" s="428"/>
      <c r="P1225" s="428"/>
      <c r="Q1225" s="428"/>
      <c r="R1225" s="428"/>
      <c r="S1225" s="428"/>
      <c r="T1225" s="428"/>
      <c r="U1225" s="428"/>
      <c r="V1225" s="27"/>
    </row>
    <row r="1226" spans="1:32" s="20" customFormat="1" ht="22.5" customHeight="1">
      <c r="A1226" s="782"/>
      <c r="B1226" s="442"/>
      <c r="C1226" s="354" t="str">
        <f>"Mutasi Debet sebesar Rp. "&amp;FIXED(F1223+L1223)&amp;" "</f>
        <v xml:space="preserve">Mutasi Debet sebesar Rp. 0.00 </v>
      </c>
      <c r="D1226" s="354"/>
      <c r="E1226" s="354"/>
      <c r="F1226" s="354"/>
      <c r="G1226" s="354"/>
      <c r="H1226" s="354"/>
      <c r="I1226" s="354"/>
      <c r="J1226" s="354"/>
      <c r="K1226" s="354"/>
      <c r="L1226" s="354"/>
      <c r="M1226" s="354"/>
      <c r="N1226" s="354"/>
      <c r="O1226" s="354"/>
      <c r="P1226" s="354"/>
      <c r="Q1226" s="354"/>
      <c r="R1226" s="354"/>
      <c r="S1226" s="354"/>
      <c r="T1226" s="354"/>
      <c r="U1226" s="354"/>
      <c r="V1226" s="27"/>
    </row>
    <row r="1227" spans="1:32" s="20" customFormat="1" ht="21.75" customHeight="1">
      <c r="A1227" s="782"/>
      <c r="B1227" s="442"/>
      <c r="C1227" s="428" t="s">
        <v>430</v>
      </c>
      <c r="D1227" s="428"/>
      <c r="E1227" s="428"/>
      <c r="F1227" s="428"/>
      <c r="G1227" s="428"/>
      <c r="H1227" s="428"/>
      <c r="I1227" s="428"/>
      <c r="J1227" s="428"/>
      <c r="K1227" s="428"/>
      <c r="L1227" s="428"/>
      <c r="M1227" s="428"/>
      <c r="N1227" s="428"/>
      <c r="O1227" s="428"/>
      <c r="P1227" s="428"/>
      <c r="Q1227" s="428"/>
      <c r="R1227" s="428"/>
      <c r="S1227" s="428"/>
      <c r="T1227" s="428"/>
      <c r="U1227" s="428"/>
      <c r="V1227" s="27"/>
    </row>
    <row r="1228" spans="1:32" s="20" customFormat="1" ht="23.25" customHeight="1">
      <c r="A1228" s="782"/>
      <c r="B1228" s="442"/>
      <c r="C1228" s="354" t="str">
        <f>"Mutasi Kredit Rp. "&amp;FIXED(I1223+O1223)&amp;" "</f>
        <v xml:space="preserve">Mutasi Kredit Rp. 0.00 </v>
      </c>
      <c r="D1228" s="354"/>
      <c r="E1228" s="354"/>
      <c r="F1228" s="354"/>
      <c r="G1228" s="354"/>
      <c r="H1228" s="354"/>
      <c r="I1228" s="354"/>
      <c r="J1228" s="354"/>
      <c r="K1228" s="354"/>
      <c r="L1228" s="354"/>
      <c r="M1228" s="354"/>
      <c r="N1228" s="354"/>
      <c r="O1228" s="354"/>
      <c r="P1228" s="354"/>
      <c r="Q1228" s="354"/>
      <c r="R1228" s="354"/>
      <c r="S1228" s="354"/>
      <c r="T1228" s="354"/>
      <c r="U1228" s="354"/>
      <c r="V1228" s="27"/>
    </row>
    <row r="1229" spans="1:32" s="20" customFormat="1" ht="10.5" customHeight="1">
      <c r="A1229" s="782"/>
      <c r="B1229" s="784"/>
      <c r="C1229" s="357"/>
      <c r="D1229" s="357"/>
      <c r="E1229" s="357"/>
      <c r="F1229" s="357"/>
      <c r="G1229" s="357"/>
      <c r="H1229" s="357"/>
      <c r="I1229" s="357"/>
      <c r="J1229" s="357"/>
      <c r="K1229" s="357"/>
      <c r="L1229" s="357"/>
      <c r="M1229" s="357"/>
      <c r="N1229" s="357"/>
      <c r="O1229" s="357"/>
      <c r="P1229" s="357"/>
      <c r="Q1229" s="357"/>
      <c r="R1229" s="357"/>
      <c r="S1229" s="357"/>
      <c r="T1229" s="357"/>
      <c r="U1229" s="357"/>
      <c r="V1229" s="27"/>
    </row>
    <row r="1230" spans="1:32" s="20" customFormat="1" ht="24" customHeight="1">
      <c r="A1230" s="14"/>
      <c r="B1230" s="774" t="s">
        <v>442</v>
      </c>
      <c r="C1230" s="775" t="str">
        <f>'[1]4.NERACA'!C111</f>
        <v>Rambu-Rambu</v>
      </c>
      <c r="D1230" s="775"/>
      <c r="E1230" s="775"/>
      <c r="F1230" s="775"/>
      <c r="G1230" s="775"/>
      <c r="H1230" s="775"/>
      <c r="I1230" s="775"/>
      <c r="J1230" s="775"/>
      <c r="K1230" s="775"/>
      <c r="L1230" s="775"/>
      <c r="M1230" s="775"/>
      <c r="N1230" s="775"/>
      <c r="O1230" s="775"/>
      <c r="P1230" s="775"/>
      <c r="Q1230" s="775"/>
      <c r="R1230" s="775"/>
      <c r="S1230" s="775"/>
      <c r="T1230" s="775"/>
      <c r="U1230" s="775"/>
      <c r="V1230" s="27"/>
    </row>
    <row r="1231" spans="1:32" s="20" customFormat="1" ht="60" customHeight="1">
      <c r="A1231" s="14"/>
      <c r="C1231" s="313" t="str">
        <f>"Nilai aset tetap berupa "&amp;C1230&amp;"  per "&amp;'[1]2.ISIAN DATA SKPD'!D8&amp;" dan  "&amp;'[1]2.ISIAN DATA SKPD'!D12&amp;" adalah sebesar Rp. "&amp;FIXED(R1236)&amp;" dan Rp. "&amp;FIXED(B1236)&amp;" tidak mengalami kenaikan/penurunan sebesar Rp. "&amp;FIXED(AC1236)&amp;" atau sebesar "&amp;FIXED(Y1236)&amp;"% dari tahun "&amp;'[1]2.ISIAN DATA SKPD'!D12&amp;"."</f>
        <v>Nilai aset tetap berupa Rambu-Rambu  per 31 Desember 2017 dan  2016 adalah sebesar Rp. 0.00 dan Rp. 0.00 tidak mengalami kenaikan/penurunan sebesar Rp. 0.00 atau sebesar 0.00% dari tahun 2016.</v>
      </c>
      <c r="D1231" s="313"/>
      <c r="E1231" s="313"/>
      <c r="F1231" s="313"/>
      <c r="G1231" s="313"/>
      <c r="H1231" s="313"/>
      <c r="I1231" s="313"/>
      <c r="J1231" s="313"/>
      <c r="K1231" s="313"/>
      <c r="L1231" s="313"/>
      <c r="M1231" s="313"/>
      <c r="N1231" s="313"/>
      <c r="O1231" s="313"/>
      <c r="P1231" s="313"/>
      <c r="Q1231" s="313"/>
      <c r="R1231" s="313"/>
      <c r="S1231" s="313"/>
      <c r="T1231" s="313"/>
      <c r="U1231" s="313"/>
      <c r="V1231" s="27"/>
    </row>
    <row r="1232" spans="1:32" s="20" customFormat="1" ht="22.5" customHeight="1">
      <c r="A1232" s="14"/>
      <c r="B1232" s="285"/>
      <c r="C1232" s="313" t="str">
        <f>"Dengan mutasi  selama tahun "&amp;'[1]2.ISIAN DATA SKPD'!D11&amp;" sebagai berikut :"</f>
        <v>Dengan mutasi  selama tahun 2017 sebagai berikut :</v>
      </c>
      <c r="D1232" s="313"/>
      <c r="E1232" s="313"/>
      <c r="F1232" s="313"/>
      <c r="G1232" s="313"/>
      <c r="H1232" s="313"/>
      <c r="I1232" s="313"/>
      <c r="J1232" s="313"/>
      <c r="K1232" s="313"/>
      <c r="L1232" s="313"/>
      <c r="M1232" s="313"/>
      <c r="N1232" s="313"/>
      <c r="O1232" s="313"/>
      <c r="P1232" s="313"/>
      <c r="Q1232" s="313"/>
      <c r="R1232" s="313"/>
      <c r="S1232" s="313"/>
      <c r="T1232" s="313"/>
      <c r="U1232" s="313"/>
      <c r="V1232" s="27"/>
    </row>
    <row r="1233" spans="1:32" s="20" customFormat="1" ht="15.75" customHeight="1">
      <c r="A1233" s="14"/>
      <c r="B1233" s="285"/>
      <c r="C1233" s="285"/>
      <c r="D1233" s="285"/>
      <c r="E1233" s="285"/>
      <c r="F1233" s="285"/>
      <c r="G1233" s="285"/>
      <c r="H1233" s="285"/>
      <c r="I1233" s="285"/>
      <c r="J1233" s="285"/>
      <c r="K1233" s="285"/>
      <c r="L1233" s="285"/>
      <c r="M1233" s="285"/>
      <c r="N1233" s="285"/>
      <c r="O1233" s="285"/>
      <c r="P1233" s="285"/>
      <c r="Q1233" s="285"/>
      <c r="R1233" s="285"/>
      <c r="S1233" s="285"/>
      <c r="T1233" s="285"/>
      <c r="U1233" s="285"/>
      <c r="V1233" s="27"/>
    </row>
    <row r="1234" spans="1:32" s="20" customFormat="1" ht="27" customHeight="1">
      <c r="A1234" s="726" t="s">
        <v>84</v>
      </c>
      <c r="B1234" s="727" t="s">
        <v>411</v>
      </c>
      <c r="C1234" s="728"/>
      <c r="D1234" s="728"/>
      <c r="E1234" s="729"/>
      <c r="F1234" s="730" t="s">
        <v>412</v>
      </c>
      <c r="G1234" s="730"/>
      <c r="H1234" s="730"/>
      <c r="I1234" s="730"/>
      <c r="J1234" s="730"/>
      <c r="K1234" s="730"/>
      <c r="L1234" s="730" t="s">
        <v>413</v>
      </c>
      <c r="M1234" s="730"/>
      <c r="N1234" s="730"/>
      <c r="O1234" s="730"/>
      <c r="P1234" s="730"/>
      <c r="Q1234" s="730"/>
      <c r="R1234" s="731" t="s">
        <v>414</v>
      </c>
      <c r="S1234" s="731"/>
      <c r="T1234" s="731"/>
      <c r="U1234" s="731"/>
      <c r="V1234" s="27"/>
    </row>
    <row r="1235" spans="1:32" s="20" customFormat="1" ht="20.25" customHeight="1">
      <c r="A1235" s="732"/>
      <c r="B1235" s="733">
        <f>B1222</f>
        <v>2017</v>
      </c>
      <c r="C1235" s="734"/>
      <c r="D1235" s="734"/>
      <c r="E1235" s="735"/>
      <c r="F1235" s="731" t="s">
        <v>415</v>
      </c>
      <c r="G1235" s="731"/>
      <c r="H1235" s="731"/>
      <c r="I1235" s="731" t="s">
        <v>416</v>
      </c>
      <c r="J1235" s="731"/>
      <c r="K1235" s="731"/>
      <c r="L1235" s="731" t="s">
        <v>415</v>
      </c>
      <c r="M1235" s="731"/>
      <c r="N1235" s="731"/>
      <c r="O1235" s="736" t="s">
        <v>416</v>
      </c>
      <c r="P1235" s="736"/>
      <c r="Q1235" s="736"/>
      <c r="R1235" s="776">
        <f>R1222</f>
        <v>2017</v>
      </c>
      <c r="S1235" s="791"/>
      <c r="T1235" s="791"/>
      <c r="U1235" s="792"/>
      <c r="V1235" s="804"/>
      <c r="W1235" s="805"/>
      <c r="X1235" s="805"/>
      <c r="Y1235" s="208" t="s">
        <v>417</v>
      </c>
      <c r="Z1235" s="805"/>
      <c r="AA1235" s="805"/>
      <c r="AB1235" s="805"/>
      <c r="AC1235" s="712" t="s">
        <v>404</v>
      </c>
      <c r="AD1235" s="713"/>
      <c r="AE1235" s="713"/>
      <c r="AF1235" s="806"/>
    </row>
    <row r="1236" spans="1:32" s="20" customFormat="1" ht="33" customHeight="1">
      <c r="A1236" s="746" t="str">
        <f>C1230</f>
        <v>Rambu-Rambu</v>
      </c>
      <c r="B1236" s="757">
        <f>'[1]4.NERACA'!D110</f>
        <v>0</v>
      </c>
      <c r="C1236" s="758"/>
      <c r="D1236" s="758"/>
      <c r="E1236" s="759"/>
      <c r="F1236" s="757">
        <f>'[1]4.NERACA'!E110</f>
        <v>0</v>
      </c>
      <c r="G1236" s="758"/>
      <c r="H1236" s="759"/>
      <c r="I1236" s="757">
        <f>'[1]4.NERACA'!F110</f>
        <v>0</v>
      </c>
      <c r="J1236" s="758"/>
      <c r="K1236" s="759"/>
      <c r="L1236" s="757">
        <f>'[1]4.NERACA'!G110</f>
        <v>0</v>
      </c>
      <c r="M1236" s="758"/>
      <c r="N1236" s="759"/>
      <c r="O1236" s="757">
        <f>'[1]4.NERACA'!H110</f>
        <v>0</v>
      </c>
      <c r="P1236" s="758"/>
      <c r="Q1236" s="759"/>
      <c r="R1236" s="757">
        <f>B1236+F1236-I1236+L1236-O1236</f>
        <v>0</v>
      </c>
      <c r="S1236" s="758"/>
      <c r="T1236" s="758"/>
      <c r="U1236" s="759"/>
      <c r="V1236" s="808"/>
      <c r="W1236" s="805"/>
      <c r="X1236" s="805"/>
      <c r="Y1236" s="208">
        <v>0</v>
      </c>
      <c r="Z1236" s="805"/>
      <c r="AA1236" s="805"/>
      <c r="AB1236" s="805"/>
      <c r="AC1236" s="451">
        <f>R1236-B1236</f>
        <v>0</v>
      </c>
      <c r="AD1236" s="452"/>
      <c r="AE1236" s="452"/>
      <c r="AF1236" s="453"/>
    </row>
    <row r="1237" spans="1:32" s="20" customFormat="1" ht="21" customHeight="1">
      <c r="A1237" s="782"/>
      <c r="B1237" s="772" t="s">
        <v>436</v>
      </c>
      <c r="C1237" s="772"/>
      <c r="D1237" s="772"/>
      <c r="E1237" s="772"/>
      <c r="F1237" s="772"/>
      <c r="G1237" s="772"/>
      <c r="H1237" s="772"/>
      <c r="I1237" s="772"/>
      <c r="J1237" s="772"/>
      <c r="K1237" s="772"/>
      <c r="L1237" s="772"/>
      <c r="M1237" s="772"/>
      <c r="N1237" s="772"/>
      <c r="O1237" s="772"/>
      <c r="P1237" s="772"/>
      <c r="Q1237" s="772"/>
      <c r="R1237" s="772"/>
      <c r="S1237" s="772"/>
      <c r="T1237" s="772"/>
      <c r="U1237" s="772"/>
      <c r="V1237" s="27"/>
    </row>
    <row r="1238" spans="1:32" s="20" customFormat="1" ht="14.25" customHeight="1">
      <c r="A1238" s="782"/>
      <c r="B1238" s="442"/>
      <c r="C1238" s="428" t="s">
        <v>428</v>
      </c>
      <c r="D1238" s="428"/>
      <c r="E1238" s="428"/>
      <c r="F1238" s="428"/>
      <c r="G1238" s="428"/>
      <c r="H1238" s="428"/>
      <c r="I1238" s="428"/>
      <c r="J1238" s="428"/>
      <c r="K1238" s="428"/>
      <c r="L1238" s="428"/>
      <c r="M1238" s="428"/>
      <c r="N1238" s="428"/>
      <c r="O1238" s="428"/>
      <c r="P1238" s="428"/>
      <c r="Q1238" s="428"/>
      <c r="R1238" s="428"/>
      <c r="S1238" s="428"/>
      <c r="T1238" s="428"/>
      <c r="U1238" s="428"/>
      <c r="V1238" s="27"/>
    </row>
    <row r="1239" spans="1:32" s="20" customFormat="1" ht="22.5" customHeight="1">
      <c r="A1239" s="782"/>
      <c r="B1239" s="442"/>
      <c r="C1239" s="354" t="str">
        <f>"Mutasi Debet sebesar Rp. "&amp;FIXED(F1236+L1236)&amp;" ."</f>
        <v>Mutasi Debet sebesar Rp. 0.00 .</v>
      </c>
      <c r="D1239" s="354"/>
      <c r="E1239" s="354"/>
      <c r="F1239" s="354"/>
      <c r="G1239" s="354"/>
      <c r="H1239" s="354"/>
      <c r="I1239" s="354"/>
      <c r="J1239" s="354"/>
      <c r="K1239" s="354"/>
      <c r="L1239" s="354"/>
      <c r="M1239" s="354"/>
      <c r="N1239" s="354"/>
      <c r="O1239" s="354"/>
      <c r="P1239" s="354"/>
      <c r="Q1239" s="354"/>
      <c r="R1239" s="354"/>
      <c r="S1239" s="354"/>
      <c r="T1239" s="354"/>
      <c r="U1239" s="354"/>
      <c r="V1239" s="27"/>
    </row>
    <row r="1240" spans="1:32" s="20" customFormat="1" ht="15" customHeight="1">
      <c r="A1240" s="782"/>
      <c r="B1240" s="442"/>
      <c r="C1240" s="428" t="s">
        <v>430</v>
      </c>
      <c r="D1240" s="428"/>
      <c r="E1240" s="428"/>
      <c r="F1240" s="428"/>
      <c r="G1240" s="428"/>
      <c r="H1240" s="428"/>
      <c r="I1240" s="428"/>
      <c r="J1240" s="428"/>
      <c r="K1240" s="428"/>
      <c r="L1240" s="428"/>
      <c r="M1240" s="428"/>
      <c r="N1240" s="428"/>
      <c r="O1240" s="428"/>
      <c r="P1240" s="428"/>
      <c r="Q1240" s="428"/>
      <c r="R1240" s="428"/>
      <c r="S1240" s="428"/>
      <c r="T1240" s="428"/>
      <c r="U1240" s="428"/>
      <c r="V1240" s="27"/>
    </row>
    <row r="1241" spans="1:32" s="20" customFormat="1" ht="15" customHeight="1">
      <c r="A1241" s="782"/>
      <c r="B1241" s="442"/>
      <c r="C1241" s="354" t="str">
        <f>"Mutasi Kredit Rp. "&amp;FIXED(I1236+O1236)&amp;" "</f>
        <v xml:space="preserve">Mutasi Kredit Rp. 0.00 </v>
      </c>
      <c r="D1241" s="354"/>
      <c r="E1241" s="354"/>
      <c r="F1241" s="354"/>
      <c r="G1241" s="354"/>
      <c r="H1241" s="354"/>
      <c r="I1241" s="354"/>
      <c r="J1241" s="354"/>
      <c r="K1241" s="354"/>
      <c r="L1241" s="354"/>
      <c r="M1241" s="354"/>
      <c r="N1241" s="354"/>
      <c r="O1241" s="354"/>
      <c r="P1241" s="354"/>
      <c r="Q1241" s="354"/>
      <c r="R1241" s="354"/>
      <c r="S1241" s="354"/>
      <c r="T1241" s="354"/>
      <c r="U1241" s="354"/>
    </row>
    <row r="1242" spans="1:32" s="20" customFormat="1" ht="15" customHeight="1">
      <c r="A1242" s="782"/>
      <c r="B1242" s="784"/>
      <c r="C1242" s="357"/>
      <c r="D1242" s="357"/>
      <c r="E1242" s="357"/>
      <c r="F1242" s="357"/>
      <c r="G1242" s="357"/>
      <c r="H1242" s="357"/>
      <c r="I1242" s="357"/>
      <c r="J1242" s="357"/>
      <c r="K1242" s="357"/>
      <c r="L1242" s="357"/>
      <c r="M1242" s="357"/>
      <c r="N1242" s="357"/>
      <c r="O1242" s="357"/>
      <c r="P1242" s="357"/>
      <c r="Q1242" s="357"/>
      <c r="R1242" s="357"/>
      <c r="S1242" s="357"/>
      <c r="T1242" s="357"/>
      <c r="U1242" s="357"/>
      <c r="V1242" s="27"/>
    </row>
    <row r="1243" spans="1:32" s="20" customFormat="1" ht="30.75" customHeight="1">
      <c r="A1243" s="782"/>
      <c r="B1243" s="650" t="str">
        <f>"Rincian saldo Gedung dan Bangunan per "&amp;'[1]2.ISIAN DATA SKPD'!D8&amp;" adalah sebagai berikut:"</f>
        <v>Rincian saldo Gedung dan Bangunan per 31 Desember 2017 adalah sebagai berikut:</v>
      </c>
      <c r="C1243" s="650"/>
      <c r="D1243" s="650"/>
      <c r="E1243" s="650"/>
      <c r="F1243" s="650"/>
      <c r="G1243" s="650"/>
      <c r="H1243" s="650"/>
      <c r="I1243" s="650"/>
      <c r="J1243" s="650"/>
      <c r="K1243" s="650"/>
      <c r="L1243" s="650"/>
      <c r="M1243" s="650"/>
      <c r="N1243" s="650"/>
      <c r="O1243" s="650"/>
      <c r="P1243" s="650"/>
      <c r="Q1243" s="650"/>
      <c r="R1243" s="650"/>
      <c r="S1243" s="650"/>
      <c r="T1243" s="650"/>
      <c r="U1243" s="650"/>
      <c r="V1243" s="27"/>
    </row>
    <row r="1244" spans="1:32" s="20" customFormat="1" ht="8.25" customHeight="1">
      <c r="A1244" s="782"/>
      <c r="B1244" s="816"/>
      <c r="C1244" s="816"/>
      <c r="D1244" s="816"/>
      <c r="E1244" s="816"/>
      <c r="F1244" s="816"/>
      <c r="G1244" s="816"/>
      <c r="H1244" s="816"/>
      <c r="I1244" s="816"/>
      <c r="J1244" s="816"/>
      <c r="K1244" s="816"/>
      <c r="L1244" s="816"/>
      <c r="M1244" s="816"/>
      <c r="N1244" s="816"/>
      <c r="O1244" s="816"/>
      <c r="P1244" s="816"/>
      <c r="Q1244" s="816"/>
      <c r="R1244" s="816"/>
      <c r="S1244" s="816"/>
      <c r="T1244" s="816"/>
      <c r="U1244" s="816"/>
      <c r="V1244" s="27"/>
    </row>
    <row r="1245" spans="1:32" s="20" customFormat="1" ht="15" customHeight="1">
      <c r="A1245" s="782"/>
      <c r="B1245" s="869" t="s">
        <v>147</v>
      </c>
      <c r="C1245" s="303" t="s">
        <v>293</v>
      </c>
      <c r="D1245" s="304"/>
      <c r="E1245" s="304"/>
      <c r="F1245" s="304"/>
      <c r="G1245" s="304"/>
      <c r="H1245" s="304"/>
      <c r="I1245" s="304"/>
      <c r="J1245" s="304"/>
      <c r="K1245" s="304"/>
      <c r="L1245" s="304"/>
      <c r="M1245" s="304"/>
      <c r="N1245" s="304"/>
      <c r="O1245" s="305"/>
      <c r="P1245" s="303" t="s">
        <v>424</v>
      </c>
      <c r="Q1245" s="304"/>
      <c r="R1245" s="304"/>
      <c r="S1245" s="304"/>
      <c r="T1245" s="304"/>
      <c r="U1245" s="305"/>
      <c r="V1245" s="27"/>
    </row>
    <row r="1246" spans="1:32" s="20" customFormat="1" ht="15" customHeight="1">
      <c r="A1246" s="782"/>
      <c r="B1246" s="870">
        <v>1</v>
      </c>
      <c r="C1246" s="473" t="str">
        <f>'[1]4.NERACA'!C103</f>
        <v>Bangunan Gedung Tempat Kerja</v>
      </c>
      <c r="D1246" s="474"/>
      <c r="E1246" s="474"/>
      <c r="F1246" s="474"/>
      <c r="G1246" s="474"/>
      <c r="H1246" s="474"/>
      <c r="I1246" s="474"/>
      <c r="J1246" s="474"/>
      <c r="K1246" s="474"/>
      <c r="L1246" s="474"/>
      <c r="M1246" s="474"/>
      <c r="N1246" s="474"/>
      <c r="O1246" s="475"/>
      <c r="P1246" s="757">
        <f>'[1]4.NERACA'!I103</f>
        <v>10602963263</v>
      </c>
      <c r="Q1246" s="758"/>
      <c r="R1246" s="758"/>
      <c r="S1246" s="758"/>
      <c r="T1246" s="758"/>
      <c r="U1246" s="759"/>
      <c r="V1246" s="27"/>
    </row>
    <row r="1247" spans="1:32" s="20" customFormat="1" ht="14.25" customHeight="1">
      <c r="A1247" s="782"/>
      <c r="B1247" s="870">
        <v>2</v>
      </c>
      <c r="C1247" s="473" t="str">
        <f>'[1]4.NERACA'!C104</f>
        <v>Bangunan Gedung Tempat Tinggal</v>
      </c>
      <c r="D1247" s="474"/>
      <c r="E1247" s="474"/>
      <c r="F1247" s="474"/>
      <c r="G1247" s="474"/>
      <c r="H1247" s="474"/>
      <c r="I1247" s="474"/>
      <c r="J1247" s="474"/>
      <c r="K1247" s="474"/>
      <c r="L1247" s="474"/>
      <c r="M1247" s="474"/>
      <c r="N1247" s="474"/>
      <c r="O1247" s="475"/>
      <c r="P1247" s="757">
        <f>'[1]4.NERACA'!I104</f>
        <v>16600000</v>
      </c>
      <c r="Q1247" s="758"/>
      <c r="R1247" s="758"/>
      <c r="S1247" s="758"/>
      <c r="T1247" s="758"/>
      <c r="U1247" s="759"/>
      <c r="V1247" s="27"/>
    </row>
    <row r="1248" spans="1:32" s="20" customFormat="1" ht="12.75" customHeight="1">
      <c r="A1248" s="782"/>
      <c r="B1248" s="870">
        <v>3</v>
      </c>
      <c r="C1248" s="473" t="str">
        <f>'[1]4.NERACA'!C105</f>
        <v>Bangunan Menara</v>
      </c>
      <c r="D1248" s="474"/>
      <c r="E1248" s="474"/>
      <c r="F1248" s="474"/>
      <c r="G1248" s="474"/>
      <c r="H1248" s="474"/>
      <c r="I1248" s="474"/>
      <c r="J1248" s="474"/>
      <c r="K1248" s="474"/>
      <c r="L1248" s="474"/>
      <c r="M1248" s="474"/>
      <c r="N1248" s="474"/>
      <c r="O1248" s="475"/>
      <c r="P1248" s="757">
        <f>'[1]4.NERACA'!I105</f>
        <v>0</v>
      </c>
      <c r="Q1248" s="758"/>
      <c r="R1248" s="758"/>
      <c r="S1248" s="758"/>
      <c r="T1248" s="758"/>
      <c r="U1248" s="759"/>
      <c r="V1248" s="27"/>
    </row>
    <row r="1249" spans="1:32" s="20" customFormat="1" ht="31.5" customHeight="1">
      <c r="A1249" s="782"/>
      <c r="B1249" s="870">
        <v>4</v>
      </c>
      <c r="C1249" s="473" t="str">
        <f>'[1]4.NERACA'!C106</f>
        <v>Bangunan Bersejarah</v>
      </c>
      <c r="D1249" s="474"/>
      <c r="E1249" s="474"/>
      <c r="F1249" s="474"/>
      <c r="G1249" s="474"/>
      <c r="H1249" s="474"/>
      <c r="I1249" s="474"/>
      <c r="J1249" s="474"/>
      <c r="K1249" s="474"/>
      <c r="L1249" s="474"/>
      <c r="M1249" s="474"/>
      <c r="N1249" s="474"/>
      <c r="O1249" s="475"/>
      <c r="P1249" s="757">
        <f>'[1]4.NERACA'!I106</f>
        <v>0</v>
      </c>
      <c r="Q1249" s="758"/>
      <c r="R1249" s="758"/>
      <c r="S1249" s="758"/>
      <c r="T1249" s="758"/>
      <c r="U1249" s="759"/>
      <c r="V1249" s="27"/>
    </row>
    <row r="1250" spans="1:32" s="20" customFormat="1" ht="18.75" customHeight="1">
      <c r="A1250" s="782"/>
      <c r="B1250" s="870">
        <v>5</v>
      </c>
      <c r="C1250" s="473" t="str">
        <f>'[1]4.NERACA'!C107</f>
        <v>Tugu Peringatan</v>
      </c>
      <c r="D1250" s="474"/>
      <c r="E1250" s="474"/>
      <c r="F1250" s="474"/>
      <c r="G1250" s="474"/>
      <c r="H1250" s="474"/>
      <c r="I1250" s="474"/>
      <c r="J1250" s="474"/>
      <c r="K1250" s="474"/>
      <c r="L1250" s="474"/>
      <c r="M1250" s="474"/>
      <c r="N1250" s="474"/>
      <c r="O1250" s="475"/>
      <c r="P1250" s="757">
        <f>'[1]4.NERACA'!I107</f>
        <v>587262623</v>
      </c>
      <c r="Q1250" s="758"/>
      <c r="R1250" s="758"/>
      <c r="S1250" s="758"/>
      <c r="T1250" s="758"/>
      <c r="U1250" s="759"/>
      <c r="V1250" s="27"/>
    </row>
    <row r="1251" spans="1:32" s="20" customFormat="1" ht="15.75" customHeight="1">
      <c r="A1251" s="782"/>
      <c r="B1251" s="870">
        <v>6</v>
      </c>
      <c r="C1251" s="473" t="str">
        <f>'[1]4.NERACA'!C108</f>
        <v>Candi</v>
      </c>
      <c r="D1251" s="474"/>
      <c r="E1251" s="474"/>
      <c r="F1251" s="474"/>
      <c r="G1251" s="474"/>
      <c r="H1251" s="474"/>
      <c r="I1251" s="474"/>
      <c r="J1251" s="474"/>
      <c r="K1251" s="474"/>
      <c r="L1251" s="474"/>
      <c r="M1251" s="474"/>
      <c r="N1251" s="474"/>
      <c r="O1251" s="475"/>
      <c r="P1251" s="757">
        <f>'[1]4.NERACA'!I108</f>
        <v>0</v>
      </c>
      <c r="Q1251" s="758"/>
      <c r="R1251" s="758"/>
      <c r="S1251" s="758"/>
      <c r="T1251" s="758"/>
      <c r="U1251" s="759"/>
      <c r="V1251" s="27"/>
    </row>
    <row r="1252" spans="1:32" s="20" customFormat="1" ht="18" customHeight="1">
      <c r="A1252" s="782"/>
      <c r="B1252" s="870">
        <v>7</v>
      </c>
      <c r="C1252" s="473" t="str">
        <f>'[1]4.NERACA'!C109</f>
        <v>Monumen/Bangunan Bersejarah</v>
      </c>
      <c r="D1252" s="474"/>
      <c r="E1252" s="474"/>
      <c r="F1252" s="474"/>
      <c r="G1252" s="474"/>
      <c r="H1252" s="474"/>
      <c r="I1252" s="474"/>
      <c r="J1252" s="474"/>
      <c r="K1252" s="474"/>
      <c r="L1252" s="474"/>
      <c r="M1252" s="474"/>
      <c r="N1252" s="474"/>
      <c r="O1252" s="475"/>
      <c r="P1252" s="757">
        <f>'[1]4.NERACA'!I109</f>
        <v>0</v>
      </c>
      <c r="Q1252" s="758"/>
      <c r="R1252" s="758"/>
      <c r="S1252" s="758"/>
      <c r="T1252" s="758"/>
      <c r="U1252" s="759"/>
      <c r="V1252" s="27"/>
    </row>
    <row r="1253" spans="1:32" s="20" customFormat="1" ht="20.25" customHeight="1">
      <c r="A1253" s="782"/>
      <c r="B1253" s="870">
        <v>8</v>
      </c>
      <c r="C1253" s="473" t="str">
        <f>'[1]4.NERACA'!C110</f>
        <v>Tugu Titik Kontrol/Pasti</v>
      </c>
      <c r="D1253" s="474"/>
      <c r="E1253" s="474"/>
      <c r="F1253" s="474"/>
      <c r="G1253" s="474"/>
      <c r="H1253" s="474"/>
      <c r="I1253" s="474"/>
      <c r="J1253" s="474"/>
      <c r="K1253" s="474"/>
      <c r="L1253" s="474"/>
      <c r="M1253" s="474"/>
      <c r="N1253" s="474"/>
      <c r="O1253" s="475"/>
      <c r="P1253" s="757">
        <f>'[1]4.NERACA'!I110</f>
        <v>0</v>
      </c>
      <c r="Q1253" s="758"/>
      <c r="R1253" s="758"/>
      <c r="S1253" s="758"/>
      <c r="T1253" s="758"/>
      <c r="U1253" s="759"/>
      <c r="V1253" s="27"/>
    </row>
    <row r="1254" spans="1:32" s="20" customFormat="1" ht="21" customHeight="1">
      <c r="A1254" s="782"/>
      <c r="B1254" s="870">
        <v>9</v>
      </c>
      <c r="C1254" s="473" t="str">
        <f>'[1]4.NERACA'!C111</f>
        <v>Rambu-Rambu</v>
      </c>
      <c r="D1254" s="474"/>
      <c r="E1254" s="474"/>
      <c r="F1254" s="474"/>
      <c r="G1254" s="474"/>
      <c r="H1254" s="474"/>
      <c r="I1254" s="474"/>
      <c r="J1254" s="474"/>
      <c r="K1254" s="474"/>
      <c r="L1254" s="474"/>
      <c r="M1254" s="474"/>
      <c r="N1254" s="474"/>
      <c r="O1254" s="475"/>
      <c r="P1254" s="757">
        <f>'[1]4.NERACA'!I111</f>
        <v>0</v>
      </c>
      <c r="Q1254" s="758"/>
      <c r="R1254" s="758"/>
      <c r="S1254" s="758"/>
      <c r="T1254" s="758"/>
      <c r="U1254" s="759"/>
      <c r="V1254" s="27"/>
    </row>
    <row r="1255" spans="1:32" s="20" customFormat="1" ht="24.75" customHeight="1">
      <c r="A1255" s="782"/>
      <c r="B1255" s="411" t="s">
        <v>143</v>
      </c>
      <c r="C1255" s="454"/>
      <c r="D1255" s="454"/>
      <c r="E1255" s="454"/>
      <c r="F1255" s="454"/>
      <c r="G1255" s="454"/>
      <c r="H1255" s="454"/>
      <c r="I1255" s="454"/>
      <c r="J1255" s="454"/>
      <c r="K1255" s="454"/>
      <c r="L1255" s="454"/>
      <c r="M1255" s="454"/>
      <c r="N1255" s="454"/>
      <c r="O1255" s="455"/>
      <c r="P1255" s="760">
        <f>SUM(P1246:U1254)</f>
        <v>11206825886</v>
      </c>
      <c r="Q1255" s="761"/>
      <c r="R1255" s="761"/>
      <c r="S1255" s="761"/>
      <c r="T1255" s="761"/>
      <c r="U1255" s="762"/>
      <c r="V1255" s="27"/>
    </row>
    <row r="1256" spans="1:32" s="20" customFormat="1" ht="12.75" customHeight="1">
      <c r="A1256" s="782"/>
      <c r="B1256" s="784"/>
      <c r="C1256" s="357"/>
      <c r="D1256" s="357"/>
      <c r="E1256" s="357"/>
      <c r="F1256" s="357"/>
      <c r="G1256" s="357"/>
      <c r="H1256" s="357"/>
      <c r="I1256" s="357"/>
      <c r="J1256" s="357"/>
      <c r="K1256" s="357"/>
      <c r="L1256" s="357"/>
      <c r="M1256" s="357"/>
      <c r="N1256" s="357"/>
      <c r="O1256" s="357"/>
      <c r="P1256" s="357"/>
      <c r="Q1256" s="357"/>
      <c r="R1256" s="357"/>
      <c r="S1256" s="357"/>
      <c r="T1256" s="357"/>
      <c r="U1256" s="357"/>
      <c r="V1256" s="27"/>
    </row>
    <row r="1257" spans="1:32" s="20" customFormat="1" ht="39" customHeight="1">
      <c r="A1257" s="14"/>
      <c r="B1257" s="309" t="s">
        <v>455</v>
      </c>
      <c r="C1257" s="309"/>
      <c r="D1257" s="309"/>
      <c r="E1257" s="309"/>
      <c r="F1257" s="309"/>
      <c r="G1257" s="309"/>
      <c r="H1257" s="309"/>
      <c r="I1257" s="309"/>
      <c r="J1257" s="309"/>
      <c r="K1257" s="309"/>
      <c r="L1257" s="309"/>
      <c r="M1257" s="309"/>
      <c r="N1257" s="309"/>
      <c r="O1257" s="309"/>
      <c r="P1257" s="309"/>
      <c r="Q1257" s="309"/>
      <c r="R1257" s="309"/>
      <c r="S1257" s="309"/>
      <c r="T1257" s="309"/>
      <c r="U1257" s="309"/>
      <c r="V1257" s="27"/>
    </row>
    <row r="1258" spans="1:32" s="20" customFormat="1" ht="5.25" customHeight="1">
      <c r="A1258" s="14"/>
      <c r="B1258" s="164"/>
      <c r="C1258" s="164"/>
      <c r="D1258" s="164"/>
      <c r="E1258" s="164"/>
      <c r="F1258" s="164"/>
      <c r="G1258" s="164"/>
      <c r="H1258" s="164"/>
      <c r="I1258" s="164"/>
      <c r="J1258" s="164"/>
      <c r="K1258" s="164"/>
      <c r="L1258" s="164"/>
      <c r="M1258" s="164"/>
      <c r="N1258" s="164"/>
      <c r="O1258" s="164"/>
      <c r="P1258" s="164"/>
      <c r="Q1258" s="164"/>
      <c r="R1258" s="164"/>
      <c r="S1258" s="164"/>
      <c r="T1258" s="46"/>
      <c r="U1258" s="46"/>
      <c r="V1258" s="27"/>
    </row>
    <row r="1259" spans="1:32" s="20" customFormat="1" ht="28.35" customHeight="1">
      <c r="A1259" s="831"/>
      <c r="B1259" s="871" t="s">
        <v>262</v>
      </c>
      <c r="C1259" s="725" t="s">
        <v>456</v>
      </c>
      <c r="D1259" s="725"/>
      <c r="E1259" s="725"/>
      <c r="F1259" s="725"/>
      <c r="G1259" s="725"/>
      <c r="H1259" s="725"/>
      <c r="I1259" s="725"/>
      <c r="J1259" s="725"/>
      <c r="K1259" s="725"/>
      <c r="L1259" s="725"/>
      <c r="M1259" s="725"/>
      <c r="N1259" s="725"/>
      <c r="O1259" s="725"/>
      <c r="P1259" s="725"/>
      <c r="Q1259" s="725"/>
      <c r="R1259" s="725"/>
      <c r="S1259" s="725"/>
      <c r="T1259" s="725"/>
      <c r="V1259" s="27"/>
    </row>
    <row r="1260" spans="1:32" s="20" customFormat="1" ht="66" customHeight="1">
      <c r="A1260" s="831"/>
      <c r="C1260" s="313" t="str">
        <f>"Saldo "&amp;C1259&amp;" per "&amp;'[1]2.ISIAN DATA SKPD'!D8&amp;" dan "&amp;'[1]2.ISIAN DATA SKPD'!D12&amp;" adalah masing-masing sebesar Rp. "&amp;FIXED(R1265)&amp;" dan Rp. "&amp;FIXED(B1265)&amp;" mengalami kenaikan/penurunan sebesar Rp. "&amp;FIXED(AC1265)&amp;" atau sebesar "&amp;FIXED(Y1265)&amp;"% dari tahun "&amp;'[1]2.ISIAN DATA SKPD'!D12&amp;"."</f>
        <v>Saldo Jalan, Jaringan dan Irigasi   per 31 Desember 2017 dan 2016 adalah masing-masing sebesar Rp. 1,559,880,462,127.00 dan Rp. 1,370,536,978,183.00 mengalami kenaikan/penurunan sebesar Rp. 189,343,483,944.00 atau sebesar 13.82% dari tahun 2016.</v>
      </c>
      <c r="D1260" s="313"/>
      <c r="E1260" s="313"/>
      <c r="F1260" s="313"/>
      <c r="G1260" s="313"/>
      <c r="H1260" s="313"/>
      <c r="I1260" s="313"/>
      <c r="J1260" s="313"/>
      <c r="K1260" s="313"/>
      <c r="L1260" s="313"/>
      <c r="M1260" s="313"/>
      <c r="N1260" s="313"/>
      <c r="O1260" s="313"/>
      <c r="P1260" s="313"/>
      <c r="Q1260" s="313"/>
      <c r="R1260" s="313"/>
      <c r="S1260" s="313"/>
      <c r="T1260" s="313"/>
      <c r="U1260" s="313"/>
      <c r="V1260" s="27"/>
    </row>
    <row r="1261" spans="1:32" s="20" customFormat="1" ht="37.5" customHeight="1">
      <c r="A1261" s="831"/>
      <c r="C1261" s="313" t="s">
        <v>457</v>
      </c>
      <c r="D1261" s="313"/>
      <c r="E1261" s="313"/>
      <c r="F1261" s="313"/>
      <c r="G1261" s="313"/>
      <c r="H1261" s="313"/>
      <c r="I1261" s="313"/>
      <c r="J1261" s="313"/>
      <c r="K1261" s="313"/>
      <c r="L1261" s="313"/>
      <c r="M1261" s="313"/>
      <c r="N1261" s="313"/>
      <c r="O1261" s="313"/>
      <c r="P1261" s="313"/>
      <c r="Q1261" s="313"/>
      <c r="R1261" s="313"/>
      <c r="S1261" s="313"/>
      <c r="T1261" s="313"/>
      <c r="U1261" s="313"/>
      <c r="V1261" s="27"/>
    </row>
    <row r="1262" spans="1:32" s="20" customFormat="1" ht="11.25" customHeight="1">
      <c r="A1262" s="833"/>
      <c r="C1262" s="285"/>
      <c r="D1262" s="285"/>
      <c r="E1262" s="285"/>
      <c r="F1262" s="285"/>
      <c r="G1262" s="285"/>
      <c r="H1262" s="285"/>
      <c r="I1262" s="285"/>
      <c r="J1262" s="285"/>
      <c r="K1262" s="285"/>
      <c r="L1262" s="285"/>
      <c r="M1262" s="285"/>
      <c r="N1262" s="285"/>
      <c r="O1262" s="285"/>
      <c r="P1262" s="285"/>
      <c r="Q1262" s="285"/>
      <c r="R1262" s="285"/>
      <c r="S1262" s="285"/>
      <c r="T1262" s="285"/>
      <c r="U1262" s="285"/>
      <c r="V1262" s="27"/>
    </row>
    <row r="1263" spans="1:32" s="20" customFormat="1" ht="32.25" customHeight="1">
      <c r="A1263" s="726" t="s">
        <v>84</v>
      </c>
      <c r="B1263" s="727" t="s">
        <v>411</v>
      </c>
      <c r="C1263" s="728"/>
      <c r="D1263" s="728"/>
      <c r="E1263" s="729"/>
      <c r="F1263" s="730" t="s">
        <v>412</v>
      </c>
      <c r="G1263" s="730"/>
      <c r="H1263" s="730"/>
      <c r="I1263" s="730"/>
      <c r="J1263" s="730"/>
      <c r="K1263" s="730"/>
      <c r="L1263" s="730" t="s">
        <v>413</v>
      </c>
      <c r="M1263" s="730"/>
      <c r="N1263" s="730"/>
      <c r="O1263" s="730"/>
      <c r="P1263" s="730"/>
      <c r="Q1263" s="730"/>
      <c r="R1263" s="731" t="s">
        <v>414</v>
      </c>
      <c r="S1263" s="731"/>
      <c r="T1263" s="731"/>
      <c r="U1263" s="731"/>
      <c r="V1263" s="27"/>
    </row>
    <row r="1264" spans="1:32" s="20" customFormat="1" ht="15" customHeight="1">
      <c r="A1264" s="732"/>
      <c r="B1264" s="733">
        <f>B1222</f>
        <v>2017</v>
      </c>
      <c r="C1264" s="734"/>
      <c r="D1264" s="734"/>
      <c r="E1264" s="735"/>
      <c r="F1264" s="731" t="s">
        <v>415</v>
      </c>
      <c r="G1264" s="731"/>
      <c r="H1264" s="731"/>
      <c r="I1264" s="731" t="s">
        <v>416</v>
      </c>
      <c r="J1264" s="731"/>
      <c r="K1264" s="731"/>
      <c r="L1264" s="731" t="s">
        <v>415</v>
      </c>
      <c r="M1264" s="731"/>
      <c r="N1264" s="731"/>
      <c r="O1264" s="736" t="s">
        <v>416</v>
      </c>
      <c r="P1264" s="736"/>
      <c r="Q1264" s="736"/>
      <c r="R1264" s="776">
        <f>R1222</f>
        <v>2017</v>
      </c>
      <c r="S1264" s="791"/>
      <c r="T1264" s="791"/>
      <c r="U1264" s="792"/>
      <c r="V1264" s="804"/>
      <c r="W1264" s="805"/>
      <c r="X1264" s="805"/>
      <c r="Y1264" s="208" t="s">
        <v>417</v>
      </c>
      <c r="Z1264" s="805"/>
      <c r="AA1264" s="805"/>
      <c r="AB1264" s="805"/>
      <c r="AC1264" s="712" t="s">
        <v>404</v>
      </c>
      <c r="AD1264" s="713"/>
      <c r="AE1264" s="713"/>
      <c r="AF1264" s="806"/>
    </row>
    <row r="1265" spans="1:32" s="20" customFormat="1" ht="37.5" customHeight="1">
      <c r="A1265" s="771" t="str">
        <f>C1259</f>
        <v xml:space="preserve">Jalan, Jaringan dan Irigasi  </v>
      </c>
      <c r="B1265" s="837">
        <f>'[1]4.NERACA'!D112</f>
        <v>1370536978183</v>
      </c>
      <c r="C1265" s="838"/>
      <c r="D1265" s="838"/>
      <c r="E1265" s="839"/>
      <c r="F1265" s="840">
        <f>'[1]4.NERACA'!E112</f>
        <v>51354445014</v>
      </c>
      <c r="G1265" s="840"/>
      <c r="H1265" s="840"/>
      <c r="I1265" s="841">
        <f>'[1]4.NERACA'!F112</f>
        <v>4448936439</v>
      </c>
      <c r="J1265" s="841"/>
      <c r="K1265" s="841"/>
      <c r="L1265" s="840">
        <f>'[1]4.NERACA'!G112</f>
        <v>142437975369</v>
      </c>
      <c r="M1265" s="840"/>
      <c r="N1265" s="840"/>
      <c r="O1265" s="841">
        <f>'[1]4.NERACA'!H112</f>
        <v>0</v>
      </c>
      <c r="P1265" s="841"/>
      <c r="Q1265" s="841"/>
      <c r="R1265" s="841">
        <f>B1265+F1265-I1265+L1265-O1265</f>
        <v>1559880462127</v>
      </c>
      <c r="S1265" s="841"/>
      <c r="T1265" s="841"/>
      <c r="U1265" s="841"/>
      <c r="V1265" s="808"/>
      <c r="W1265" s="805"/>
      <c r="X1265" s="805"/>
      <c r="Y1265" s="208">
        <f>(R1265-B1265)/B1265*100</f>
        <v>13.815277293358665</v>
      </c>
      <c r="Z1265" s="805"/>
      <c r="AA1265" s="805"/>
      <c r="AB1265" s="805"/>
      <c r="AC1265" s="872">
        <f>R1265-B1265</f>
        <v>189343483944</v>
      </c>
      <c r="AD1265" s="873"/>
      <c r="AE1265" s="873"/>
      <c r="AF1265" s="874"/>
    </row>
    <row r="1266" spans="1:32" s="20" customFormat="1" ht="18.75" customHeight="1">
      <c r="A1266" s="14"/>
      <c r="B1266" s="842" t="s">
        <v>418</v>
      </c>
      <c r="C1266" s="842"/>
      <c r="D1266" s="842"/>
      <c r="E1266" s="842"/>
      <c r="F1266" s="842"/>
      <c r="G1266" s="842"/>
      <c r="H1266" s="842"/>
      <c r="I1266" s="842"/>
      <c r="J1266" s="842"/>
      <c r="K1266" s="842"/>
      <c r="L1266" s="842"/>
      <c r="M1266" s="842"/>
      <c r="N1266" s="843"/>
      <c r="O1266" s="843"/>
      <c r="P1266" s="843"/>
      <c r="Q1266" s="843"/>
      <c r="R1266" s="843"/>
      <c r="S1266" s="843"/>
      <c r="T1266" s="843"/>
      <c r="U1266" s="843"/>
      <c r="V1266" s="27"/>
    </row>
    <row r="1267" spans="1:32" s="20" customFormat="1" ht="25.5" customHeight="1">
      <c r="A1267" s="14"/>
      <c r="B1267" s="774" t="s">
        <v>119</v>
      </c>
      <c r="C1267" s="775" t="str">
        <f>'[1]4.NERACA'!C113</f>
        <v>Jalan</v>
      </c>
      <c r="D1267" s="775"/>
      <c r="E1267" s="775"/>
      <c r="F1267" s="775"/>
      <c r="G1267" s="775"/>
      <c r="H1267" s="775"/>
      <c r="I1267" s="775"/>
      <c r="J1267" s="775"/>
      <c r="K1267" s="775"/>
      <c r="L1267" s="775"/>
      <c r="M1267" s="775"/>
      <c r="N1267" s="775"/>
      <c r="O1267" s="775"/>
      <c r="P1267" s="775"/>
      <c r="Q1267" s="775"/>
      <c r="R1267" s="775"/>
      <c r="S1267" s="775"/>
      <c r="T1267" s="775"/>
      <c r="U1267" s="775"/>
      <c r="V1267" s="27"/>
    </row>
    <row r="1268" spans="1:32" s="20" customFormat="1" ht="64.5" customHeight="1">
      <c r="A1268" s="875"/>
      <c r="C1268" s="313" t="str">
        <f>"Nilai aset tetap berupa "&amp;C1267&amp;"  per "&amp;'[1]2.ISIAN DATA SKPD'!D8&amp;" dan  "&amp;'[1]2.ISIAN DATA SKPD'!D12&amp;" adalah sebesar Rp. "&amp;FIXED(R1272)&amp;" dan Rp. "&amp;FIXED(B1272)&amp;" mengalami kenaikan sebesar Rp. "&amp;FIXED(AC1272)&amp;" atau sebesar "&amp;FIXED(Y1272)&amp;"% dari tahun "&amp;'[1]2.ISIAN DATA SKPD'!D12&amp;"."</f>
        <v>Nilai aset tetap berupa Jalan  per 31 Desember 2017 dan  2016 adalah sebesar Rp. 1,020,788,948,201.00 dan Rp. 862,330,850,832.00 mengalami kenaikan sebesar Rp. 158,458,097,369.00 atau sebesar 18.38% dari tahun 2016.</v>
      </c>
      <c r="D1268" s="313"/>
      <c r="E1268" s="313"/>
      <c r="F1268" s="313"/>
      <c r="G1268" s="313"/>
      <c r="H1268" s="313"/>
      <c r="I1268" s="313"/>
      <c r="J1268" s="313"/>
      <c r="K1268" s="313"/>
      <c r="L1268" s="313"/>
      <c r="M1268" s="313"/>
      <c r="N1268" s="313"/>
      <c r="O1268" s="313"/>
      <c r="P1268" s="313"/>
      <c r="Q1268" s="313"/>
      <c r="R1268" s="313"/>
      <c r="S1268" s="313"/>
      <c r="T1268" s="313"/>
      <c r="U1268" s="313"/>
      <c r="V1268" s="27"/>
    </row>
    <row r="1269" spans="1:32" s="20" customFormat="1" ht="24" customHeight="1">
      <c r="A1269" s="14"/>
      <c r="B1269" s="285"/>
      <c r="C1269" s="568" t="str">
        <f>"Dengan mutasi  selama tahun "&amp;'[1]2.ISIAN DATA SKPD'!D11&amp;" sebagai berikut :"</f>
        <v>Dengan mutasi  selama tahun 2017 sebagai berikut :</v>
      </c>
      <c r="D1269" s="568"/>
      <c r="E1269" s="568"/>
      <c r="F1269" s="568"/>
      <c r="G1269" s="568"/>
      <c r="H1269" s="568"/>
      <c r="I1269" s="568"/>
      <c r="J1269" s="568"/>
      <c r="K1269" s="568"/>
      <c r="L1269" s="568"/>
      <c r="M1269" s="568"/>
      <c r="N1269" s="568"/>
      <c r="O1269" s="568"/>
      <c r="P1269" s="568"/>
      <c r="Q1269" s="568"/>
      <c r="R1269" s="568"/>
      <c r="S1269" s="568"/>
      <c r="T1269" s="568"/>
      <c r="U1269" s="568"/>
      <c r="V1269" s="27"/>
    </row>
    <row r="1270" spans="1:32" s="20" customFormat="1" ht="15" customHeight="1">
      <c r="A1270" s="726" t="s">
        <v>84</v>
      </c>
      <c r="B1270" s="727" t="s">
        <v>411</v>
      </c>
      <c r="C1270" s="728"/>
      <c r="D1270" s="728"/>
      <c r="E1270" s="729"/>
      <c r="F1270" s="730" t="s">
        <v>412</v>
      </c>
      <c r="G1270" s="730"/>
      <c r="H1270" s="730"/>
      <c r="I1270" s="730"/>
      <c r="J1270" s="730"/>
      <c r="K1270" s="730"/>
      <c r="L1270" s="730" t="s">
        <v>413</v>
      </c>
      <c r="M1270" s="730"/>
      <c r="N1270" s="730"/>
      <c r="O1270" s="730"/>
      <c r="P1270" s="730"/>
      <c r="Q1270" s="730"/>
      <c r="R1270" s="776" t="s">
        <v>414</v>
      </c>
      <c r="S1270" s="791"/>
      <c r="T1270" s="791"/>
      <c r="U1270" s="792"/>
      <c r="V1270" s="27"/>
    </row>
    <row r="1271" spans="1:32" s="20" customFormat="1" ht="27.75" customHeight="1">
      <c r="A1271" s="732"/>
      <c r="B1271" s="861">
        <f>B1264</f>
        <v>2017</v>
      </c>
      <c r="C1271" s="862"/>
      <c r="D1271" s="862"/>
      <c r="E1271" s="863"/>
      <c r="F1271" s="731" t="s">
        <v>415</v>
      </c>
      <c r="G1271" s="731"/>
      <c r="H1271" s="731"/>
      <c r="I1271" s="731" t="s">
        <v>416</v>
      </c>
      <c r="J1271" s="731"/>
      <c r="K1271" s="731"/>
      <c r="L1271" s="731" t="s">
        <v>415</v>
      </c>
      <c r="M1271" s="731"/>
      <c r="N1271" s="731"/>
      <c r="O1271" s="736" t="s">
        <v>416</v>
      </c>
      <c r="P1271" s="736"/>
      <c r="Q1271" s="736"/>
      <c r="R1271" s="776">
        <f>R1264</f>
        <v>2017</v>
      </c>
      <c r="S1271" s="791"/>
      <c r="T1271" s="791"/>
      <c r="U1271" s="792"/>
      <c r="V1271" s="804"/>
      <c r="W1271" s="805"/>
      <c r="X1271" s="805"/>
      <c r="Y1271" s="208" t="s">
        <v>417</v>
      </c>
      <c r="Z1271" s="805"/>
      <c r="AA1271" s="805"/>
      <c r="AB1271" s="805"/>
      <c r="AC1271" s="712" t="s">
        <v>404</v>
      </c>
      <c r="AD1271" s="713"/>
      <c r="AE1271" s="713"/>
      <c r="AF1271" s="806"/>
    </row>
    <row r="1272" spans="1:32" s="20" customFormat="1" ht="24.75" customHeight="1">
      <c r="A1272" s="771" t="str">
        <f>C1267</f>
        <v>Jalan</v>
      </c>
      <c r="B1272" s="876">
        <f>'[1]4.NERACA'!D113</f>
        <v>862330850832</v>
      </c>
      <c r="C1272" s="877"/>
      <c r="D1272" s="877"/>
      <c r="E1272" s="878"/>
      <c r="F1272" s="876">
        <f>'[1]4.NERACA'!E113</f>
        <v>48192749814</v>
      </c>
      <c r="G1272" s="877"/>
      <c r="H1272" s="878"/>
      <c r="I1272" s="876">
        <f>'[1]4.NERACA'!F113</f>
        <v>273224239</v>
      </c>
      <c r="J1272" s="877"/>
      <c r="K1272" s="878"/>
      <c r="L1272" s="876">
        <f>'[1]4.NERACA'!G113</f>
        <v>110538571794</v>
      </c>
      <c r="M1272" s="877"/>
      <c r="N1272" s="878"/>
      <c r="O1272" s="876">
        <f>'[1]4.NERACA'!H113</f>
        <v>0</v>
      </c>
      <c r="P1272" s="877"/>
      <c r="Q1272" s="878"/>
      <c r="R1272" s="876">
        <f>B1272+F1272-I1272+L1272-O1272</f>
        <v>1020788948201</v>
      </c>
      <c r="S1272" s="877"/>
      <c r="T1272" s="877"/>
      <c r="U1272" s="878"/>
      <c r="V1272" s="808"/>
      <c r="W1272" s="805"/>
      <c r="X1272" s="805"/>
      <c r="Y1272" s="208">
        <f>(R1272-B1272)/B1272*100</f>
        <v>18.3755570400984</v>
      </c>
      <c r="Z1272" s="805"/>
      <c r="AA1272" s="805"/>
      <c r="AB1272" s="805"/>
      <c r="AC1272" s="451">
        <f>R1272-B1272</f>
        <v>158458097369</v>
      </c>
      <c r="AD1272" s="452"/>
      <c r="AE1272" s="452"/>
      <c r="AF1272" s="453"/>
    </row>
    <row r="1273" spans="1:32" s="20" customFormat="1" ht="15" customHeight="1">
      <c r="A1273" s="782"/>
      <c r="B1273" s="772" t="s">
        <v>436</v>
      </c>
      <c r="C1273" s="772"/>
      <c r="D1273" s="772"/>
      <c r="E1273" s="772"/>
      <c r="F1273" s="772"/>
      <c r="G1273" s="772"/>
      <c r="H1273" s="772"/>
      <c r="I1273" s="772"/>
      <c r="J1273" s="772"/>
      <c r="K1273" s="772"/>
      <c r="L1273" s="772"/>
      <c r="M1273" s="772"/>
      <c r="N1273" s="772"/>
      <c r="O1273" s="772"/>
      <c r="P1273" s="772"/>
      <c r="Q1273" s="772"/>
      <c r="R1273" s="772"/>
      <c r="S1273" s="772"/>
      <c r="T1273" s="772"/>
      <c r="U1273" s="772"/>
      <c r="V1273" s="27"/>
    </row>
    <row r="1274" spans="1:32" s="20" customFormat="1" ht="23.25" customHeight="1">
      <c r="A1274" s="782"/>
      <c r="B1274" s="442"/>
      <c r="C1274" s="428" t="s">
        <v>428</v>
      </c>
      <c r="D1274" s="428"/>
      <c r="E1274" s="428"/>
      <c r="F1274" s="428"/>
      <c r="G1274" s="428"/>
      <c r="H1274" s="428"/>
      <c r="I1274" s="428"/>
      <c r="J1274" s="428"/>
      <c r="K1274" s="428"/>
      <c r="L1274" s="428"/>
      <c r="M1274" s="428"/>
      <c r="N1274" s="428"/>
      <c r="O1274" s="428"/>
      <c r="P1274" s="428"/>
      <c r="Q1274" s="428"/>
      <c r="R1274" s="428"/>
      <c r="S1274" s="428"/>
      <c r="T1274" s="428"/>
      <c r="U1274" s="428"/>
      <c r="V1274" s="27"/>
    </row>
    <row r="1275" spans="1:32" s="20" customFormat="1" ht="96" customHeight="1">
      <c r="A1275" s="782"/>
      <c r="B1275" s="442"/>
      <c r="C1275" s="354" t="str">
        <f>"Mutasi Debet sebesar Rp. "&amp;FIXED(F1272+L1272)&amp;" adalah hasil pengadaan barang tahun "&amp;'[1]2.ISIAN DATA SKPD'!D11&amp;" dari belanja modal berupa Pembangunan jalan kabupaten senilai Rp 64.793.712.885, mutasi jalan dari 15 kecamatan  senilai Rp 45.744.858.909, reklas dari belanja  jembatan  senilai Rp. 924.369.000 dan reklas dari aset lain-lain senilai Rp. 47.268.380.814,"</f>
        <v>Mutasi Debet sebesar Rp. 158,731,321,608.00 adalah hasil pengadaan barang tahun 2017 dari belanja modal berupa Pembangunan jalan kabupaten senilai Rp 64.793.712.885, mutasi jalan dari 15 kecamatan  senilai Rp 45.744.858.909, reklas dari belanja  jembatan  senilai Rp. 924.369.000 dan reklas dari aset lain-lain senilai Rp. 47.268.380.814,</v>
      </c>
      <c r="D1275" s="354"/>
      <c r="E1275" s="354"/>
      <c r="F1275" s="354"/>
      <c r="G1275" s="354"/>
      <c r="H1275" s="354"/>
      <c r="I1275" s="354"/>
      <c r="J1275" s="354"/>
      <c r="K1275" s="354"/>
      <c r="L1275" s="354"/>
      <c r="M1275" s="354"/>
      <c r="N1275" s="354"/>
      <c r="O1275" s="354"/>
      <c r="P1275" s="354"/>
      <c r="Q1275" s="354"/>
      <c r="R1275" s="354"/>
      <c r="S1275" s="354"/>
      <c r="T1275" s="354"/>
      <c r="U1275" s="354"/>
      <c r="V1275" s="27"/>
    </row>
    <row r="1276" spans="1:32" s="20" customFormat="1" ht="15" customHeight="1">
      <c r="A1276" s="782"/>
      <c r="B1276" s="442"/>
      <c r="C1276" s="428" t="s">
        <v>430</v>
      </c>
      <c r="D1276" s="428"/>
      <c r="E1276" s="428"/>
      <c r="F1276" s="428"/>
      <c r="G1276" s="428"/>
      <c r="H1276" s="428"/>
      <c r="I1276" s="428"/>
      <c r="J1276" s="428"/>
      <c r="K1276" s="428"/>
      <c r="L1276" s="428"/>
      <c r="M1276" s="428"/>
      <c r="N1276" s="428"/>
      <c r="O1276" s="428"/>
      <c r="P1276" s="428"/>
      <c r="Q1276" s="428"/>
      <c r="R1276" s="428"/>
      <c r="S1276" s="428"/>
      <c r="T1276" s="428"/>
      <c r="U1276" s="428"/>
      <c r="V1276" s="27"/>
    </row>
    <row r="1277" spans="1:32" s="20" customFormat="1" ht="43.5" customHeight="1">
      <c r="A1277" s="782"/>
      <c r="B1277" s="784"/>
      <c r="C1277" s="354" t="str">
        <f>"Mutasi Kredit Rp. "&amp;FIXED(I1272+O1272)&amp;" adalah koreksi berupa . tanaman dan shelter senilai Rp.6.727.020,00 "</f>
        <v xml:space="preserve">Mutasi Kredit Rp. 273,224,239.00 adalah koreksi berupa . tanaman dan shelter senilai Rp.6.727.020,00 </v>
      </c>
      <c r="D1277" s="354"/>
      <c r="E1277" s="354"/>
      <c r="F1277" s="354"/>
      <c r="G1277" s="354"/>
      <c r="H1277" s="354"/>
      <c r="I1277" s="354"/>
      <c r="J1277" s="354"/>
      <c r="K1277" s="354"/>
      <c r="L1277" s="354"/>
      <c r="M1277" s="354"/>
      <c r="N1277" s="354"/>
      <c r="O1277" s="354"/>
      <c r="P1277" s="354"/>
      <c r="Q1277" s="354"/>
      <c r="R1277" s="354"/>
      <c r="S1277" s="354"/>
      <c r="T1277" s="354"/>
      <c r="U1277" s="354"/>
      <c r="V1277" s="27"/>
    </row>
    <row r="1278" spans="1:32" s="20" customFormat="1" ht="10.5" customHeight="1">
      <c r="A1278" s="782"/>
      <c r="B1278" s="784"/>
      <c r="C1278" s="357"/>
      <c r="D1278" s="357"/>
      <c r="E1278" s="357"/>
      <c r="F1278" s="357"/>
      <c r="G1278" s="357"/>
      <c r="H1278" s="357"/>
      <c r="I1278" s="357"/>
      <c r="J1278" s="357"/>
      <c r="K1278" s="357"/>
      <c r="L1278" s="357"/>
      <c r="M1278" s="357"/>
      <c r="N1278" s="357"/>
      <c r="O1278" s="357"/>
      <c r="P1278" s="357"/>
      <c r="Q1278" s="357"/>
      <c r="R1278" s="357"/>
      <c r="S1278" s="357"/>
      <c r="T1278" s="357"/>
      <c r="U1278" s="357"/>
      <c r="V1278" s="27"/>
    </row>
    <row r="1279" spans="1:32" s="20" customFormat="1" ht="17.25" customHeight="1">
      <c r="A1279" s="14"/>
      <c r="B1279" s="774" t="s">
        <v>112</v>
      </c>
      <c r="C1279" s="775" t="str">
        <f>'[1]4.NERACA'!C114</f>
        <v>Jembatan</v>
      </c>
      <c r="D1279" s="775"/>
      <c r="E1279" s="775"/>
      <c r="F1279" s="775"/>
      <c r="G1279" s="775"/>
      <c r="H1279" s="775"/>
      <c r="I1279" s="775"/>
      <c r="J1279" s="775"/>
      <c r="K1279" s="775"/>
      <c r="L1279" s="775"/>
      <c r="M1279" s="775"/>
      <c r="N1279" s="775"/>
      <c r="O1279" s="775"/>
      <c r="P1279" s="775"/>
      <c r="Q1279" s="775"/>
      <c r="R1279" s="775"/>
      <c r="S1279" s="775"/>
      <c r="T1279" s="775"/>
      <c r="U1279" s="775"/>
      <c r="V1279" s="27"/>
    </row>
    <row r="1280" spans="1:32" s="20" customFormat="1" ht="72.75" customHeight="1">
      <c r="A1280" s="14"/>
      <c r="C1280" s="313" t="str">
        <f>"Nilai aset tetap berupa "&amp;C1279&amp;"  per "&amp;'[1]2.ISIAN DATA SKPD'!D8&amp;" dan  "&amp;'[1]2.ISIAN DATA SKPD'!D12&amp;" adalah sebesar Rp. "&amp;FIXED(R1285)&amp;" dan Rp. "&amp;FIXED(B1285)&amp;" mengalami kenaikan sebesar Rp. "&amp;FIXED(AC1285)&amp;" atau sebesar "&amp;FIXED(Y1285)&amp;"% dari tahun "&amp;'[1]2.ISIAN DATA SKPD'!D12&amp;"."</f>
        <v>Nilai aset tetap berupa Jembatan  per 31 Desember 2017 dan  2016 adalah sebesar Rp. 19,556,211,768.00 dan Rp. 14,135,580,768.00 mengalami kenaikan sebesar Rp. 5,420,631,000.00 atau sebesar 38.35% dari tahun 2016.</v>
      </c>
      <c r="D1280" s="313"/>
      <c r="E1280" s="313"/>
      <c r="F1280" s="313"/>
      <c r="G1280" s="313"/>
      <c r="H1280" s="313"/>
      <c r="I1280" s="313"/>
      <c r="J1280" s="313"/>
      <c r="K1280" s="313"/>
      <c r="L1280" s="313"/>
      <c r="M1280" s="313"/>
      <c r="N1280" s="313"/>
      <c r="O1280" s="313"/>
      <c r="P1280" s="313"/>
      <c r="Q1280" s="313"/>
      <c r="R1280" s="313"/>
      <c r="S1280" s="313"/>
      <c r="T1280" s="313"/>
      <c r="U1280" s="313"/>
      <c r="V1280" s="27"/>
    </row>
    <row r="1281" spans="1:32" s="20" customFormat="1" ht="22.5" customHeight="1">
      <c r="A1281" s="14"/>
      <c r="B1281" s="285"/>
      <c r="C1281" s="313" t="str">
        <f>"Dengan mutasi  selama tahun "&amp;'[1]2.ISIAN DATA SKPD'!D11&amp;" sebagai berikut :"</f>
        <v>Dengan mutasi  selama tahun 2017 sebagai berikut :</v>
      </c>
      <c r="D1281" s="313"/>
      <c r="E1281" s="313"/>
      <c r="F1281" s="313"/>
      <c r="G1281" s="313"/>
      <c r="H1281" s="313"/>
      <c r="I1281" s="313"/>
      <c r="J1281" s="313"/>
      <c r="K1281" s="313"/>
      <c r="L1281" s="313"/>
      <c r="M1281" s="313"/>
      <c r="N1281" s="313"/>
      <c r="O1281" s="313"/>
      <c r="P1281" s="313"/>
      <c r="Q1281" s="313"/>
      <c r="R1281" s="313"/>
      <c r="S1281" s="313"/>
      <c r="T1281" s="313"/>
      <c r="U1281" s="313"/>
      <c r="V1281" s="27"/>
    </row>
    <row r="1282" spans="1:32" s="20" customFormat="1" ht="5.25" customHeight="1">
      <c r="A1282" s="14"/>
      <c r="B1282" s="285"/>
      <c r="C1282" s="285"/>
      <c r="D1282" s="285"/>
      <c r="E1282" s="285"/>
      <c r="F1282" s="285"/>
      <c r="G1282" s="285"/>
      <c r="H1282" s="285"/>
      <c r="I1282" s="285"/>
      <c r="J1282" s="285"/>
      <c r="K1282" s="285"/>
      <c r="L1282" s="285"/>
      <c r="M1282" s="285"/>
      <c r="N1282" s="285"/>
      <c r="O1282" s="285"/>
      <c r="P1282" s="285"/>
      <c r="Q1282" s="285"/>
      <c r="R1282" s="285"/>
      <c r="S1282" s="285"/>
      <c r="T1282" s="285"/>
      <c r="U1282" s="285"/>
      <c r="V1282" s="27"/>
    </row>
    <row r="1283" spans="1:32" s="20" customFormat="1" ht="39.75" customHeight="1">
      <c r="A1283" s="726" t="s">
        <v>84</v>
      </c>
      <c r="B1283" s="727" t="s">
        <v>411</v>
      </c>
      <c r="C1283" s="728"/>
      <c r="D1283" s="728"/>
      <c r="E1283" s="729"/>
      <c r="F1283" s="730" t="s">
        <v>412</v>
      </c>
      <c r="G1283" s="730"/>
      <c r="H1283" s="730"/>
      <c r="I1283" s="730"/>
      <c r="J1283" s="730"/>
      <c r="K1283" s="730"/>
      <c r="L1283" s="730" t="s">
        <v>413</v>
      </c>
      <c r="M1283" s="730"/>
      <c r="N1283" s="730"/>
      <c r="O1283" s="730"/>
      <c r="P1283" s="730"/>
      <c r="Q1283" s="730"/>
      <c r="R1283" s="731" t="s">
        <v>414</v>
      </c>
      <c r="S1283" s="731"/>
      <c r="T1283" s="731"/>
      <c r="U1283" s="731"/>
      <c r="V1283" s="27"/>
    </row>
    <row r="1284" spans="1:32" s="20" customFormat="1" ht="16.5" customHeight="1">
      <c r="A1284" s="732"/>
      <c r="B1284" s="733">
        <f>B1271</f>
        <v>2017</v>
      </c>
      <c r="C1284" s="734"/>
      <c r="D1284" s="734"/>
      <c r="E1284" s="735"/>
      <c r="F1284" s="731" t="s">
        <v>415</v>
      </c>
      <c r="G1284" s="731"/>
      <c r="H1284" s="731"/>
      <c r="I1284" s="731" t="s">
        <v>416</v>
      </c>
      <c r="J1284" s="731"/>
      <c r="K1284" s="731"/>
      <c r="L1284" s="731" t="s">
        <v>415</v>
      </c>
      <c r="M1284" s="731"/>
      <c r="N1284" s="731"/>
      <c r="O1284" s="736" t="s">
        <v>416</v>
      </c>
      <c r="P1284" s="736"/>
      <c r="Q1284" s="736"/>
      <c r="R1284" s="776">
        <f>R1271</f>
        <v>2017</v>
      </c>
      <c r="S1284" s="791"/>
      <c r="T1284" s="791"/>
      <c r="U1284" s="792"/>
      <c r="V1284" s="804"/>
      <c r="W1284" s="805"/>
      <c r="X1284" s="805"/>
      <c r="Y1284" s="208" t="s">
        <v>417</v>
      </c>
      <c r="Z1284" s="805"/>
      <c r="AA1284" s="805"/>
      <c r="AB1284" s="805"/>
      <c r="AC1284" s="712" t="s">
        <v>404</v>
      </c>
      <c r="AD1284" s="713"/>
      <c r="AE1284" s="713"/>
      <c r="AF1284" s="806"/>
    </row>
    <row r="1285" spans="1:32" s="20" customFormat="1" ht="27" customHeight="1">
      <c r="A1285" s="771" t="str">
        <f>C1279</f>
        <v>Jembatan</v>
      </c>
      <c r="B1285" s="879">
        <f>'[1]4.NERACA'!D114</f>
        <v>14135580768</v>
      </c>
      <c r="C1285" s="880"/>
      <c r="D1285" s="880"/>
      <c r="E1285" s="881"/>
      <c r="F1285" s="879">
        <f>'[1]4.NERACA'!E114</f>
        <v>0</v>
      </c>
      <c r="G1285" s="880"/>
      <c r="H1285" s="881"/>
      <c r="I1285" s="879">
        <f>'[1]4.NERACA'!F114</f>
        <v>924369000</v>
      </c>
      <c r="J1285" s="880"/>
      <c r="K1285" s="881"/>
      <c r="L1285" s="879">
        <f>'[1]4.NERACA'!G114</f>
        <v>6345000000</v>
      </c>
      <c r="M1285" s="880"/>
      <c r="N1285" s="881"/>
      <c r="O1285" s="879">
        <f>'[1]4.NERACA'!H113</f>
        <v>0</v>
      </c>
      <c r="P1285" s="880"/>
      <c r="Q1285" s="881"/>
      <c r="R1285" s="879">
        <f>B1285+F1285-I1285+L1285-O1285</f>
        <v>19556211768</v>
      </c>
      <c r="S1285" s="880"/>
      <c r="T1285" s="880"/>
      <c r="U1285" s="881"/>
      <c r="V1285" s="808"/>
      <c r="W1285" s="805"/>
      <c r="X1285" s="805"/>
      <c r="Y1285" s="208">
        <f>(R1285-B1285)/B1285*100</f>
        <v>38.34742334939061</v>
      </c>
      <c r="Z1285" s="805"/>
      <c r="AA1285" s="805"/>
      <c r="AB1285" s="805"/>
      <c r="AC1285" s="451">
        <f>R1285-B1285</f>
        <v>5420631000</v>
      </c>
      <c r="AD1285" s="452"/>
      <c r="AE1285" s="452"/>
      <c r="AF1285" s="453"/>
    </row>
    <row r="1286" spans="1:32" s="20" customFormat="1" ht="27.75" customHeight="1">
      <c r="A1286" s="782"/>
      <c r="B1286" s="772" t="s">
        <v>436</v>
      </c>
      <c r="C1286" s="772"/>
      <c r="D1286" s="772"/>
      <c r="E1286" s="772"/>
      <c r="F1286" s="772"/>
      <c r="G1286" s="772"/>
      <c r="H1286" s="772"/>
      <c r="I1286" s="772"/>
      <c r="J1286" s="772"/>
      <c r="K1286" s="772"/>
      <c r="L1286" s="772"/>
      <c r="M1286" s="772"/>
      <c r="N1286" s="772"/>
      <c r="O1286" s="772"/>
      <c r="P1286" s="772"/>
      <c r="Q1286" s="772"/>
      <c r="R1286" s="772"/>
      <c r="S1286" s="772"/>
      <c r="T1286" s="772"/>
      <c r="U1286" s="772"/>
      <c r="V1286" s="27"/>
    </row>
    <row r="1287" spans="1:32" s="20" customFormat="1" ht="28.5" customHeight="1">
      <c r="A1287" s="782"/>
      <c r="B1287" s="442"/>
      <c r="C1287" s="428" t="s">
        <v>428</v>
      </c>
      <c r="D1287" s="428"/>
      <c r="E1287" s="428"/>
      <c r="F1287" s="428"/>
      <c r="G1287" s="428"/>
      <c r="H1287" s="428"/>
      <c r="I1287" s="428"/>
      <c r="J1287" s="428"/>
      <c r="K1287" s="428"/>
      <c r="L1287" s="428"/>
      <c r="M1287" s="428"/>
      <c r="N1287" s="428"/>
      <c r="O1287" s="428"/>
      <c r="P1287" s="428"/>
      <c r="Q1287" s="428"/>
      <c r="R1287" s="428"/>
      <c r="S1287" s="428"/>
      <c r="T1287" s="428"/>
      <c r="U1287" s="428"/>
      <c r="V1287" s="27"/>
    </row>
    <row r="1288" spans="1:32" s="20" customFormat="1" ht="65.25" customHeight="1">
      <c r="A1288" s="782"/>
      <c r="B1288" s="442"/>
      <c r="C1288" s="354" t="str">
        <f>"Mutasi Debet sebesar Rp. "&amp;FIXED(F1285+L1285)&amp;" adalah hasil pengadaan barang tahun "&amp;'[1]2.ISIAN DATA SKPD'!D11&amp;" dari belanja modal berupa Jembatan Sikrinjing Kalikarung , jembatan kali Mamprihan dan jembatan gantung Kaliguwo."</f>
        <v>Mutasi Debet sebesar Rp. 6,345,000,000.00 adalah hasil pengadaan barang tahun 2017 dari belanja modal berupa Jembatan Sikrinjing Kalikarung , jembatan kali Mamprihan dan jembatan gantung Kaliguwo.</v>
      </c>
      <c r="D1288" s="354"/>
      <c r="E1288" s="354"/>
      <c r="F1288" s="354"/>
      <c r="G1288" s="354"/>
      <c r="H1288" s="354"/>
      <c r="I1288" s="354"/>
      <c r="J1288" s="354"/>
      <c r="K1288" s="354"/>
      <c r="L1288" s="354"/>
      <c r="M1288" s="354"/>
      <c r="N1288" s="354"/>
      <c r="O1288" s="354"/>
      <c r="P1288" s="354"/>
      <c r="Q1288" s="354"/>
      <c r="R1288" s="354"/>
      <c r="S1288" s="354"/>
      <c r="T1288" s="354"/>
      <c r="U1288" s="354"/>
      <c r="V1288" s="27"/>
    </row>
    <row r="1289" spans="1:32" s="20" customFormat="1" ht="15" customHeight="1">
      <c r="A1289" s="782"/>
      <c r="B1289" s="784"/>
      <c r="C1289" s="428" t="s">
        <v>430</v>
      </c>
      <c r="D1289" s="428"/>
      <c r="E1289" s="428"/>
      <c r="F1289" s="428"/>
      <c r="G1289" s="428"/>
      <c r="H1289" s="428"/>
      <c r="I1289" s="428"/>
      <c r="J1289" s="428"/>
      <c r="K1289" s="428"/>
      <c r="L1289" s="428"/>
      <c r="M1289" s="428"/>
      <c r="N1289" s="428"/>
      <c r="O1289" s="428"/>
      <c r="P1289" s="428"/>
      <c r="Q1289" s="428"/>
      <c r="R1289" s="428"/>
      <c r="S1289" s="428"/>
      <c r="T1289" s="428"/>
      <c r="U1289" s="428"/>
      <c r="V1289" s="27"/>
    </row>
    <row r="1290" spans="1:32" s="20" customFormat="1" ht="36.75" customHeight="1">
      <c r="A1290" s="782"/>
      <c r="B1290" s="784"/>
      <c r="C1290" s="354" t="str">
        <f>"Mutasi Kredit Rp. "&amp;FIXED(I1285+O1285)&amp;" adalah reklas berupa aspal jembatan  . "</f>
        <v xml:space="preserve">Mutasi Kredit Rp. 924,369,000.00 adalah reklas berupa aspal jembatan  . </v>
      </c>
      <c r="D1290" s="354"/>
      <c r="E1290" s="354"/>
      <c r="F1290" s="354"/>
      <c r="G1290" s="354"/>
      <c r="H1290" s="354"/>
      <c r="I1290" s="354"/>
      <c r="J1290" s="354"/>
      <c r="K1290" s="354"/>
      <c r="L1290" s="354"/>
      <c r="M1290" s="354"/>
      <c r="N1290" s="354"/>
      <c r="O1290" s="354"/>
      <c r="P1290" s="354"/>
      <c r="Q1290" s="354"/>
      <c r="R1290" s="354"/>
      <c r="S1290" s="354"/>
      <c r="T1290" s="354"/>
      <c r="U1290" s="354"/>
      <c r="V1290" s="27"/>
    </row>
    <row r="1291" spans="1:32" s="20" customFormat="1" ht="26.25" customHeight="1">
      <c r="A1291" s="14"/>
      <c r="B1291" s="774" t="s">
        <v>113</v>
      </c>
      <c r="C1291" s="775" t="str">
        <f>'[1]4.NERACA'!C115</f>
        <v>Bangunan Air Irigasi</v>
      </c>
      <c r="D1291" s="775"/>
      <c r="E1291" s="775"/>
      <c r="F1291" s="775"/>
      <c r="G1291" s="775"/>
      <c r="H1291" s="775"/>
      <c r="I1291" s="775"/>
      <c r="J1291" s="775"/>
      <c r="K1291" s="775"/>
      <c r="L1291" s="775"/>
      <c r="M1291" s="775"/>
      <c r="N1291" s="775"/>
      <c r="O1291" s="775"/>
      <c r="P1291" s="775"/>
      <c r="Q1291" s="775"/>
      <c r="R1291" s="775"/>
      <c r="S1291" s="775"/>
      <c r="T1291" s="775"/>
      <c r="U1291" s="775"/>
      <c r="V1291" s="27"/>
    </row>
    <row r="1292" spans="1:32" s="20" customFormat="1" ht="68.25" customHeight="1">
      <c r="A1292" s="14"/>
      <c r="C1292" s="313" t="str">
        <f>"Nilai aset tetap berupa "&amp;C1291&amp;"  per "&amp;'[1]2.ISIAN DATA SKPD'!D8&amp;" dan  "&amp;'[1]2.ISIAN DATA SKPD'!D32&amp;" adalah sebesar Rp. "&amp;FIXED(R1297)&amp;" dan Rp. "&amp;FIXED(B1297)&amp;" mengalami kenaikan/penurunan sebesar Rp. "&amp;FIXED(AC1297)&amp;" atau sebesar "&amp;FIXED(Y1297)&amp;"% dari tahun "&amp;'[1]2.ISIAN DATA SKPD'!D12&amp;"."</f>
        <v>Nilai aset tetap berupa Bangunan Air Irigasi  per 31 Desember 2017 dan   adalah sebesar Rp. 480,514,867,430.00 dan Rp. 464,125,392,780.00 mengalami kenaikan/penurunan sebesar Rp. 16,389,474,650.00 atau sebesar 3.53% dari tahun 2016.</v>
      </c>
      <c r="D1292" s="313"/>
      <c r="E1292" s="313"/>
      <c r="F1292" s="313"/>
      <c r="G1292" s="313"/>
      <c r="H1292" s="313"/>
      <c r="I1292" s="313"/>
      <c r="J1292" s="313"/>
      <c r="K1292" s="313"/>
      <c r="L1292" s="313"/>
      <c r="M1292" s="313"/>
      <c r="N1292" s="313"/>
      <c r="O1292" s="313"/>
      <c r="P1292" s="313"/>
      <c r="Q1292" s="313"/>
      <c r="R1292" s="313"/>
      <c r="S1292" s="313"/>
      <c r="T1292" s="313"/>
      <c r="U1292" s="313"/>
      <c r="V1292" s="27"/>
    </row>
    <row r="1293" spans="1:32" s="20" customFormat="1" ht="20.25" customHeight="1">
      <c r="A1293" s="14"/>
      <c r="B1293" s="285"/>
      <c r="C1293" s="313" t="str">
        <f>"Dengan mutasi  selama tahun "&amp;'[1]2.ISIAN DATA SKPD'!D11&amp;" sebagai berikut :"</f>
        <v>Dengan mutasi  selama tahun 2017 sebagai berikut :</v>
      </c>
      <c r="D1293" s="313"/>
      <c r="E1293" s="313"/>
      <c r="F1293" s="313"/>
      <c r="G1293" s="313"/>
      <c r="H1293" s="313"/>
      <c r="I1293" s="313"/>
      <c r="J1293" s="313"/>
      <c r="K1293" s="313"/>
      <c r="L1293" s="313"/>
      <c r="M1293" s="313"/>
      <c r="N1293" s="313"/>
      <c r="O1293" s="313"/>
      <c r="P1293" s="313"/>
      <c r="Q1293" s="313"/>
      <c r="R1293" s="313"/>
      <c r="S1293" s="313"/>
      <c r="T1293" s="313"/>
      <c r="U1293" s="313"/>
      <c r="V1293" s="27"/>
    </row>
    <row r="1294" spans="1:32" s="20" customFormat="1" ht="12.75" customHeight="1">
      <c r="A1294" s="14"/>
      <c r="B1294" s="285"/>
      <c r="C1294" s="882"/>
      <c r="D1294" s="882"/>
      <c r="E1294" s="882"/>
      <c r="F1294" s="882"/>
      <c r="G1294" s="882"/>
      <c r="H1294" s="882"/>
      <c r="I1294" s="882"/>
      <c r="J1294" s="882"/>
      <c r="K1294" s="882"/>
      <c r="L1294" s="882"/>
      <c r="M1294" s="882"/>
      <c r="N1294" s="882"/>
      <c r="O1294" s="882"/>
      <c r="P1294" s="882"/>
      <c r="Q1294" s="882"/>
      <c r="R1294" s="882"/>
      <c r="S1294" s="882"/>
      <c r="T1294" s="882"/>
      <c r="U1294" s="882"/>
      <c r="V1294" s="27"/>
    </row>
    <row r="1295" spans="1:32" s="20" customFormat="1" ht="26.25" customHeight="1">
      <c r="A1295" s="726" t="s">
        <v>84</v>
      </c>
      <c r="B1295" s="727" t="s">
        <v>411</v>
      </c>
      <c r="C1295" s="728"/>
      <c r="D1295" s="728"/>
      <c r="E1295" s="729"/>
      <c r="F1295" s="730" t="s">
        <v>412</v>
      </c>
      <c r="G1295" s="730"/>
      <c r="H1295" s="730"/>
      <c r="I1295" s="730"/>
      <c r="J1295" s="730"/>
      <c r="K1295" s="730"/>
      <c r="L1295" s="730" t="s">
        <v>413</v>
      </c>
      <c r="M1295" s="730"/>
      <c r="N1295" s="730"/>
      <c r="O1295" s="730"/>
      <c r="P1295" s="730"/>
      <c r="Q1295" s="730"/>
      <c r="R1295" s="731" t="s">
        <v>414</v>
      </c>
      <c r="S1295" s="731"/>
      <c r="T1295" s="731"/>
      <c r="U1295" s="731"/>
      <c r="V1295" s="27"/>
    </row>
    <row r="1296" spans="1:32" s="20" customFormat="1" ht="20.25" customHeight="1">
      <c r="A1296" s="732"/>
      <c r="B1296" s="883">
        <f>B1284</f>
        <v>2017</v>
      </c>
      <c r="C1296" s="884"/>
      <c r="D1296" s="884"/>
      <c r="E1296" s="885"/>
      <c r="F1296" s="731" t="s">
        <v>415</v>
      </c>
      <c r="G1296" s="731"/>
      <c r="H1296" s="731"/>
      <c r="I1296" s="731" t="s">
        <v>416</v>
      </c>
      <c r="J1296" s="731"/>
      <c r="K1296" s="731"/>
      <c r="L1296" s="731" t="s">
        <v>415</v>
      </c>
      <c r="M1296" s="731"/>
      <c r="N1296" s="731"/>
      <c r="O1296" s="736" t="s">
        <v>416</v>
      </c>
      <c r="P1296" s="736"/>
      <c r="Q1296" s="736"/>
      <c r="R1296" s="776">
        <f>R1284</f>
        <v>2017</v>
      </c>
      <c r="S1296" s="791"/>
      <c r="T1296" s="791"/>
      <c r="U1296" s="792"/>
      <c r="V1296" s="804"/>
      <c r="W1296" s="805"/>
      <c r="X1296" s="805"/>
      <c r="Y1296" s="208" t="s">
        <v>417</v>
      </c>
      <c r="Z1296" s="805"/>
      <c r="AA1296" s="805"/>
      <c r="AB1296" s="805"/>
      <c r="AC1296" s="712" t="s">
        <v>404</v>
      </c>
      <c r="AD1296" s="713"/>
      <c r="AE1296" s="713"/>
      <c r="AF1296" s="806"/>
    </row>
    <row r="1297" spans="1:32" s="20" customFormat="1" ht="36.75" customHeight="1">
      <c r="A1297" s="771" t="str">
        <f>C1291</f>
        <v>Bangunan Air Irigasi</v>
      </c>
      <c r="B1297" s="837">
        <f>'[1]4.NERACA'!D115</f>
        <v>464125392780</v>
      </c>
      <c r="C1297" s="838"/>
      <c r="D1297" s="838"/>
      <c r="E1297" s="839"/>
      <c r="F1297" s="837">
        <f>'[1]4.NERACA'!E115</f>
        <v>0</v>
      </c>
      <c r="G1297" s="838"/>
      <c r="H1297" s="839"/>
      <c r="I1297" s="837">
        <f>'[1]4.NERACA'!F115</f>
        <v>87538000</v>
      </c>
      <c r="J1297" s="838"/>
      <c r="K1297" s="839"/>
      <c r="L1297" s="876">
        <f>'[1]4.NERACA'!G115</f>
        <v>16477012650</v>
      </c>
      <c r="M1297" s="877"/>
      <c r="N1297" s="878"/>
      <c r="O1297" s="837">
        <f>'[1]4.NERACA'!H115</f>
        <v>0</v>
      </c>
      <c r="P1297" s="838"/>
      <c r="Q1297" s="839"/>
      <c r="R1297" s="837">
        <f>B1297+F1297-I1297+L1297-O1297</f>
        <v>480514867430</v>
      </c>
      <c r="S1297" s="838"/>
      <c r="T1297" s="838"/>
      <c r="U1297" s="839"/>
      <c r="V1297" s="808"/>
      <c r="W1297" s="805"/>
      <c r="X1297" s="805"/>
      <c r="Y1297" s="208">
        <f>(R1297-B1297)/B1297*100</f>
        <v>3.53126006569711</v>
      </c>
      <c r="Z1297" s="805"/>
      <c r="AA1297" s="805"/>
      <c r="AB1297" s="805"/>
      <c r="AC1297" s="451">
        <f>R1297-B1297</f>
        <v>16389474650</v>
      </c>
      <c r="AD1297" s="452"/>
      <c r="AE1297" s="452"/>
      <c r="AF1297" s="453"/>
    </row>
    <row r="1298" spans="1:32" s="20" customFormat="1" ht="22.5" customHeight="1">
      <c r="A1298" s="782"/>
      <c r="B1298" s="772" t="s">
        <v>436</v>
      </c>
      <c r="C1298" s="772"/>
      <c r="D1298" s="772"/>
      <c r="E1298" s="772"/>
      <c r="F1298" s="772"/>
      <c r="G1298" s="772"/>
      <c r="H1298" s="772"/>
      <c r="I1298" s="772"/>
      <c r="J1298" s="772"/>
      <c r="K1298" s="772"/>
      <c r="L1298" s="772"/>
      <c r="M1298" s="772"/>
      <c r="N1298" s="772"/>
      <c r="O1298" s="772"/>
      <c r="P1298" s="772"/>
      <c r="Q1298" s="772"/>
      <c r="R1298" s="772"/>
      <c r="S1298" s="772"/>
      <c r="T1298" s="772"/>
      <c r="U1298" s="772"/>
      <c r="V1298" s="27"/>
    </row>
    <row r="1299" spans="1:32" s="20" customFormat="1" ht="21" customHeight="1">
      <c r="A1299" s="782"/>
      <c r="B1299" s="442"/>
      <c r="C1299" s="428" t="s">
        <v>428</v>
      </c>
      <c r="D1299" s="428"/>
      <c r="E1299" s="428"/>
      <c r="F1299" s="428"/>
      <c r="G1299" s="428"/>
      <c r="H1299" s="428"/>
      <c r="I1299" s="428"/>
      <c r="J1299" s="428"/>
      <c r="K1299" s="428"/>
      <c r="L1299" s="428"/>
      <c r="M1299" s="428"/>
      <c r="N1299" s="428"/>
      <c r="O1299" s="428"/>
      <c r="P1299" s="428"/>
      <c r="Q1299" s="428"/>
      <c r="R1299" s="428"/>
      <c r="S1299" s="428"/>
      <c r="T1299" s="428"/>
      <c r="U1299" s="428"/>
      <c r="V1299" s="27"/>
    </row>
    <row r="1300" spans="1:32" s="20" customFormat="1" ht="51" customHeight="1">
      <c r="A1300" s="782"/>
      <c r="B1300" s="442"/>
      <c r="C1300" s="354" t="str">
        <f>"Mutasi Debet sebesar Rp. "&amp;FIXED(F1297+L1297)&amp;" adalah hasil pengadaan barang tahun "&amp;'[1]2.ISIAN DATA SKPD'!D11&amp;" dari belanja modal berupa bangunan air irigasi ."</f>
        <v>Mutasi Debet sebesar Rp. 16,477,012,650.00 adalah hasil pengadaan barang tahun 2017 dari belanja modal berupa bangunan air irigasi .</v>
      </c>
      <c r="D1300" s="354"/>
      <c r="E1300" s="354"/>
      <c r="F1300" s="354"/>
      <c r="G1300" s="354"/>
      <c r="H1300" s="354"/>
      <c r="I1300" s="354"/>
      <c r="J1300" s="354"/>
      <c r="K1300" s="354"/>
      <c r="L1300" s="354"/>
      <c r="M1300" s="354"/>
      <c r="N1300" s="354"/>
      <c r="O1300" s="354"/>
      <c r="P1300" s="354"/>
      <c r="Q1300" s="354"/>
      <c r="R1300" s="354"/>
      <c r="S1300" s="354"/>
      <c r="T1300" s="354"/>
      <c r="U1300" s="354"/>
      <c r="V1300" s="27"/>
    </row>
    <row r="1301" spans="1:32" s="20" customFormat="1" ht="14.25" customHeight="1">
      <c r="A1301" s="782"/>
      <c r="B1301" s="442"/>
      <c r="C1301" s="428" t="s">
        <v>430</v>
      </c>
      <c r="D1301" s="428"/>
      <c r="E1301" s="428"/>
      <c r="F1301" s="428"/>
      <c r="G1301" s="428"/>
      <c r="H1301" s="428"/>
      <c r="I1301" s="428"/>
      <c r="J1301" s="428"/>
      <c r="K1301" s="428"/>
      <c r="L1301" s="428"/>
      <c r="M1301" s="428"/>
      <c r="N1301" s="428"/>
      <c r="O1301" s="428"/>
      <c r="P1301" s="428"/>
      <c r="Q1301" s="428"/>
      <c r="R1301" s="428"/>
      <c r="S1301" s="428"/>
      <c r="T1301" s="428"/>
      <c r="U1301" s="428"/>
      <c r="V1301" s="27"/>
    </row>
    <row r="1302" spans="1:32" s="20" customFormat="1" ht="52.5" customHeight="1">
      <c r="A1302" s="782"/>
      <c r="B1302" s="784"/>
      <c r="C1302" s="354" t="str">
        <f>"Mutasi Kredit Rp. "&amp;FIXED(I1297+O1297)&amp;" adalah penghapusan berupa pembayaran kewajiban tahun 2016 yaitu daerah Irigasi Gondok. Senil ai Rp87.530.000"</f>
        <v>Mutasi Kredit Rp. 87,538,000.00 adalah penghapusan berupa pembayaran kewajiban tahun 2016 yaitu daerah Irigasi Gondok. Senil ai Rp87.530.000</v>
      </c>
      <c r="D1302" s="354"/>
      <c r="E1302" s="354"/>
      <c r="F1302" s="354"/>
      <c r="G1302" s="354"/>
      <c r="H1302" s="354"/>
      <c r="I1302" s="354"/>
      <c r="J1302" s="354"/>
      <c r="K1302" s="354"/>
      <c r="L1302" s="354"/>
      <c r="M1302" s="354"/>
      <c r="N1302" s="354"/>
      <c r="O1302" s="354"/>
      <c r="P1302" s="354"/>
      <c r="Q1302" s="354"/>
      <c r="R1302" s="354"/>
      <c r="S1302" s="354"/>
      <c r="T1302" s="354"/>
      <c r="U1302" s="354"/>
      <c r="V1302" s="27"/>
    </row>
    <row r="1303" spans="1:32" s="20" customFormat="1" ht="12.75" customHeight="1">
      <c r="A1303" s="782"/>
      <c r="B1303" s="784"/>
      <c r="C1303" s="357"/>
      <c r="D1303" s="357"/>
      <c r="E1303" s="357"/>
      <c r="F1303" s="357"/>
      <c r="G1303" s="357"/>
      <c r="H1303" s="357"/>
      <c r="I1303" s="357"/>
      <c r="J1303" s="357"/>
      <c r="K1303" s="357"/>
      <c r="L1303" s="357"/>
      <c r="M1303" s="357"/>
      <c r="N1303" s="357"/>
      <c r="O1303" s="357"/>
      <c r="P1303" s="357"/>
      <c r="Q1303" s="357"/>
      <c r="R1303" s="357"/>
      <c r="S1303" s="357"/>
      <c r="T1303" s="357"/>
      <c r="U1303" s="357"/>
      <c r="V1303" s="27"/>
    </row>
    <row r="1304" spans="1:32" s="20" customFormat="1" ht="27" customHeight="1">
      <c r="A1304" s="14"/>
      <c r="B1304" s="774" t="s">
        <v>114</v>
      </c>
      <c r="C1304" s="775" t="str">
        <f>'[1]4.NERACA'!C116</f>
        <v>Bangunan Pengaman Sungai dan Penanggulangan Bencana Alam</v>
      </c>
      <c r="D1304" s="775"/>
      <c r="E1304" s="775"/>
      <c r="F1304" s="775"/>
      <c r="G1304" s="775"/>
      <c r="H1304" s="775"/>
      <c r="I1304" s="775"/>
      <c r="J1304" s="775"/>
      <c r="K1304" s="775"/>
      <c r="L1304" s="775"/>
      <c r="M1304" s="775"/>
      <c r="N1304" s="775"/>
      <c r="O1304" s="775"/>
      <c r="P1304" s="775"/>
      <c r="Q1304" s="775"/>
      <c r="R1304" s="775"/>
      <c r="S1304" s="775"/>
      <c r="T1304" s="775"/>
      <c r="U1304" s="775"/>
      <c r="V1304" s="27"/>
    </row>
    <row r="1305" spans="1:32" s="20" customFormat="1" ht="77.25" customHeight="1">
      <c r="A1305" s="14"/>
      <c r="C1305" s="313" t="str">
        <f>"Nilai aset tetap berupa "&amp;C1304&amp;"  per "&amp;'[1]2.ISIAN DATA SKPD'!D12&amp;" dan  "&amp;'[1]2.ISIAN DATA SKPD'!D43&amp;" adalah sebesar Rp. "&amp;FIXED(R1310)&amp;" dan Rp. "&amp;FIXED(B1310)&amp;" tidak mengalami kenaikan/penurunan sebesar Rp. "&amp;FIXED(AC1310)&amp;" atau sebesar "&amp;FIXED(Y1310)&amp;"% tahun "&amp;'[1]2.ISIAN DATA SKPD'!D12&amp;"."</f>
        <v>Nilai aset tetap berupa Bangunan Pengaman Sungai dan Penanggulangan Bencana Alam  per 2016 dan   adalah sebesar Rp. 4,461,833,000.00 dan Rp. 4,461,833,000.00 tidak mengalami kenaikan/penurunan sebesar Rp. 0.00 atau sebesar 0.00% tahun 2016.</v>
      </c>
      <c r="D1305" s="313"/>
      <c r="E1305" s="313"/>
      <c r="F1305" s="313"/>
      <c r="G1305" s="313"/>
      <c r="H1305" s="313"/>
      <c r="I1305" s="313"/>
      <c r="J1305" s="313"/>
      <c r="K1305" s="313"/>
      <c r="L1305" s="313"/>
      <c r="M1305" s="313"/>
      <c r="N1305" s="313"/>
      <c r="O1305" s="313"/>
      <c r="P1305" s="313"/>
      <c r="Q1305" s="313"/>
      <c r="R1305" s="313"/>
      <c r="S1305" s="313"/>
      <c r="T1305" s="313"/>
      <c r="U1305" s="313"/>
      <c r="V1305" s="27"/>
    </row>
    <row r="1306" spans="1:32" s="20" customFormat="1" ht="19.5" customHeight="1">
      <c r="A1306" s="14"/>
      <c r="B1306" s="285"/>
      <c r="C1306" s="313" t="str">
        <f>"Dengan mutasi  selama tahun "&amp;'[1]2.ISIAN DATA SKPD'!D11&amp;" sebagai berikut :"</f>
        <v>Dengan mutasi  selama tahun 2017 sebagai berikut :</v>
      </c>
      <c r="D1306" s="313"/>
      <c r="E1306" s="313"/>
      <c r="F1306" s="313"/>
      <c r="G1306" s="313"/>
      <c r="H1306" s="313"/>
      <c r="I1306" s="313"/>
      <c r="J1306" s="313"/>
      <c r="K1306" s="313"/>
      <c r="L1306" s="313"/>
      <c r="M1306" s="313"/>
      <c r="N1306" s="313"/>
      <c r="O1306" s="313"/>
      <c r="P1306" s="313"/>
      <c r="Q1306" s="313"/>
      <c r="R1306" s="313"/>
      <c r="S1306" s="313"/>
      <c r="T1306" s="313"/>
      <c r="U1306" s="313"/>
      <c r="V1306" s="27"/>
    </row>
    <row r="1307" spans="1:32" s="20" customFormat="1" ht="14.25" customHeight="1">
      <c r="A1307" s="14"/>
      <c r="B1307" s="285"/>
      <c r="C1307" s="882"/>
      <c r="D1307" s="882"/>
      <c r="E1307" s="882"/>
      <c r="F1307" s="882"/>
      <c r="G1307" s="882"/>
      <c r="H1307" s="882"/>
      <c r="I1307" s="882"/>
      <c r="J1307" s="882"/>
      <c r="K1307" s="882"/>
      <c r="L1307" s="882"/>
      <c r="M1307" s="882"/>
      <c r="N1307" s="882"/>
      <c r="O1307" s="882"/>
      <c r="P1307" s="882"/>
      <c r="Q1307" s="882"/>
      <c r="R1307" s="882"/>
      <c r="S1307" s="882"/>
      <c r="T1307" s="882"/>
      <c r="U1307" s="882"/>
      <c r="V1307" s="27"/>
    </row>
    <row r="1308" spans="1:32" s="20" customFormat="1" ht="25.5" customHeight="1">
      <c r="A1308" s="726" t="s">
        <v>84</v>
      </c>
      <c r="B1308" s="573" t="s">
        <v>411</v>
      </c>
      <c r="C1308" s="457"/>
      <c r="D1308" s="457"/>
      <c r="E1308" s="458"/>
      <c r="F1308" s="786" t="s">
        <v>412</v>
      </c>
      <c r="G1308" s="786"/>
      <c r="H1308" s="786"/>
      <c r="I1308" s="786"/>
      <c r="J1308" s="786"/>
      <c r="K1308" s="786"/>
      <c r="L1308" s="786" t="s">
        <v>413</v>
      </c>
      <c r="M1308" s="786"/>
      <c r="N1308" s="786"/>
      <c r="O1308" s="786"/>
      <c r="P1308" s="786"/>
      <c r="Q1308" s="786"/>
      <c r="R1308" s="99" t="s">
        <v>414</v>
      </c>
      <c r="S1308" s="99"/>
      <c r="T1308" s="99"/>
      <c r="U1308" s="99"/>
      <c r="V1308" s="27"/>
    </row>
    <row r="1309" spans="1:32" s="20" customFormat="1" ht="15" customHeight="1">
      <c r="A1309" s="732"/>
      <c r="B1309" s="787">
        <f>B1296</f>
        <v>2017</v>
      </c>
      <c r="C1309" s="788"/>
      <c r="D1309" s="788"/>
      <c r="E1309" s="789"/>
      <c r="F1309" s="99" t="s">
        <v>415</v>
      </c>
      <c r="G1309" s="99"/>
      <c r="H1309" s="99"/>
      <c r="I1309" s="99" t="s">
        <v>416</v>
      </c>
      <c r="J1309" s="99"/>
      <c r="K1309" s="99"/>
      <c r="L1309" s="99" t="s">
        <v>415</v>
      </c>
      <c r="M1309" s="99"/>
      <c r="N1309" s="99"/>
      <c r="O1309" s="790" t="s">
        <v>416</v>
      </c>
      <c r="P1309" s="790"/>
      <c r="Q1309" s="790"/>
      <c r="R1309" s="776">
        <f>R1296</f>
        <v>2017</v>
      </c>
      <c r="S1309" s="791"/>
      <c r="T1309" s="791"/>
      <c r="U1309" s="792"/>
      <c r="V1309" s="804"/>
      <c r="W1309" s="805"/>
      <c r="X1309" s="805"/>
      <c r="Y1309" s="208" t="s">
        <v>417</v>
      </c>
      <c r="Z1309" s="805"/>
      <c r="AA1309" s="805"/>
      <c r="AB1309" s="805"/>
      <c r="AC1309" s="712" t="s">
        <v>404</v>
      </c>
      <c r="AD1309" s="713"/>
      <c r="AE1309" s="713"/>
      <c r="AF1309" s="806"/>
    </row>
    <row r="1310" spans="1:32" s="20" customFormat="1" ht="72.75" customHeight="1">
      <c r="A1310" s="771" t="str">
        <f>C1304</f>
        <v>Bangunan Pengaman Sungai dan Penanggulangan Bencana Alam</v>
      </c>
      <c r="B1310" s="853">
        <f>'[1]4.NERACA'!D116</f>
        <v>4461833000</v>
      </c>
      <c r="C1310" s="854"/>
      <c r="D1310" s="854"/>
      <c r="E1310" s="855"/>
      <c r="F1310" s="853">
        <f>'[1]4.NERACA'!E116</f>
        <v>0</v>
      </c>
      <c r="G1310" s="854"/>
      <c r="H1310" s="855"/>
      <c r="I1310" s="853">
        <f>'[1]4.NERACA'!F116</f>
        <v>0</v>
      </c>
      <c r="J1310" s="854"/>
      <c r="K1310" s="855"/>
      <c r="L1310" s="853">
        <f>'[1]4.NERACA'!G116</f>
        <v>0</v>
      </c>
      <c r="M1310" s="854"/>
      <c r="N1310" s="855"/>
      <c r="O1310" s="853">
        <f>'[1]4.NERACA'!H116</f>
        <v>0</v>
      </c>
      <c r="P1310" s="854"/>
      <c r="Q1310" s="855"/>
      <c r="R1310" s="853">
        <f>B1310+F1310-I1310+L1310-O1310</f>
        <v>4461833000</v>
      </c>
      <c r="S1310" s="854"/>
      <c r="T1310" s="854"/>
      <c r="U1310" s="855"/>
      <c r="V1310" s="808"/>
      <c r="W1310" s="805"/>
      <c r="X1310" s="805"/>
      <c r="Y1310" s="208">
        <f>(R1310-B1310)/B1310*100</f>
        <v>0</v>
      </c>
      <c r="Z1310" s="805"/>
      <c r="AA1310" s="805"/>
      <c r="AB1310" s="805"/>
      <c r="AC1310" s="451">
        <f>R1310-B1310</f>
        <v>0</v>
      </c>
      <c r="AD1310" s="452"/>
      <c r="AE1310" s="452"/>
      <c r="AF1310" s="453"/>
    </row>
    <row r="1311" spans="1:32" s="20" customFormat="1" ht="26.25" customHeight="1">
      <c r="A1311" s="782"/>
      <c r="B1311" s="772" t="s">
        <v>436</v>
      </c>
      <c r="C1311" s="772"/>
      <c r="D1311" s="772"/>
      <c r="E1311" s="772"/>
      <c r="F1311" s="772"/>
      <c r="G1311" s="772"/>
      <c r="H1311" s="772"/>
      <c r="I1311" s="772"/>
      <c r="J1311" s="772"/>
      <c r="K1311" s="772"/>
      <c r="L1311" s="772"/>
      <c r="M1311" s="772"/>
      <c r="N1311" s="772"/>
      <c r="O1311" s="772"/>
      <c r="P1311" s="772"/>
      <c r="Q1311" s="772"/>
      <c r="R1311" s="772"/>
      <c r="S1311" s="772"/>
      <c r="T1311" s="772"/>
      <c r="U1311" s="772"/>
      <c r="V1311" s="27"/>
    </row>
    <row r="1312" spans="1:32" s="20" customFormat="1" ht="19.5" customHeight="1">
      <c r="A1312" s="782"/>
      <c r="B1312" s="442"/>
      <c r="C1312" s="428" t="s">
        <v>428</v>
      </c>
      <c r="D1312" s="428"/>
      <c r="E1312" s="428"/>
      <c r="F1312" s="428"/>
      <c r="G1312" s="428"/>
      <c r="H1312" s="428"/>
      <c r="I1312" s="428"/>
      <c r="J1312" s="428"/>
      <c r="K1312" s="428"/>
      <c r="L1312" s="428"/>
      <c r="M1312" s="428"/>
      <c r="N1312" s="428"/>
      <c r="O1312" s="428"/>
      <c r="P1312" s="428"/>
      <c r="Q1312" s="428"/>
      <c r="R1312" s="428"/>
      <c r="S1312" s="428"/>
      <c r="T1312" s="428"/>
      <c r="U1312" s="428"/>
      <c r="V1312" s="27"/>
    </row>
    <row r="1313" spans="1:32" s="20" customFormat="1" ht="21" customHeight="1">
      <c r="A1313" s="782"/>
      <c r="B1313" s="442"/>
      <c r="C1313" s="354" t="str">
        <f>"Mutasi Debet sebesar Rp. "&amp;FIXED(F1310+L1310)&amp;" "</f>
        <v xml:space="preserve">Mutasi Debet sebesar Rp. 0.00 </v>
      </c>
      <c r="D1313" s="354"/>
      <c r="E1313" s="354"/>
      <c r="F1313" s="354"/>
      <c r="G1313" s="354"/>
      <c r="H1313" s="354"/>
      <c r="I1313" s="354"/>
      <c r="J1313" s="354"/>
      <c r="K1313" s="354"/>
      <c r="L1313" s="354"/>
      <c r="M1313" s="354"/>
      <c r="N1313" s="354"/>
      <c r="O1313" s="354"/>
      <c r="P1313" s="354"/>
      <c r="Q1313" s="354"/>
      <c r="R1313" s="354"/>
      <c r="S1313" s="354"/>
      <c r="T1313" s="354"/>
      <c r="U1313" s="354"/>
      <c r="V1313" s="27"/>
    </row>
    <row r="1314" spans="1:32" s="20" customFormat="1" ht="24.75" customHeight="1">
      <c r="A1314" s="782"/>
      <c r="B1314" s="442"/>
      <c r="C1314" s="428" t="s">
        <v>430</v>
      </c>
      <c r="D1314" s="428"/>
      <c r="E1314" s="428"/>
      <c r="F1314" s="428"/>
      <c r="G1314" s="428"/>
      <c r="H1314" s="428"/>
      <c r="I1314" s="428"/>
      <c r="J1314" s="428"/>
      <c r="K1314" s="428"/>
      <c r="L1314" s="428"/>
      <c r="M1314" s="428"/>
      <c r="N1314" s="428"/>
      <c r="O1314" s="428"/>
      <c r="P1314" s="428"/>
      <c r="Q1314" s="428"/>
      <c r="R1314" s="428"/>
      <c r="S1314" s="428"/>
      <c r="T1314" s="428"/>
      <c r="U1314" s="428"/>
      <c r="V1314" s="27"/>
    </row>
    <row r="1315" spans="1:32" s="20" customFormat="1" ht="15" customHeight="1">
      <c r="A1315" s="782"/>
      <c r="B1315" s="784"/>
      <c r="C1315" s="354" t="str">
        <f>"Mutasi Kredit Rp. "&amp;FIXED(I1310+O1310)&amp;" "</f>
        <v xml:space="preserve">Mutasi Kredit Rp. 0.00 </v>
      </c>
      <c r="D1315" s="354"/>
      <c r="E1315" s="354"/>
      <c r="F1315" s="354"/>
      <c r="G1315" s="354"/>
      <c r="H1315" s="354"/>
      <c r="I1315" s="354"/>
      <c r="J1315" s="354"/>
      <c r="K1315" s="354"/>
      <c r="L1315" s="354"/>
      <c r="M1315" s="354"/>
      <c r="N1315" s="354"/>
      <c r="O1315" s="354"/>
      <c r="P1315" s="354"/>
      <c r="Q1315" s="354"/>
      <c r="R1315" s="354"/>
      <c r="S1315" s="354"/>
      <c r="T1315" s="354"/>
      <c r="U1315" s="354"/>
      <c r="V1315" s="27"/>
    </row>
    <row r="1316" spans="1:32" s="20" customFormat="1" ht="15" customHeight="1">
      <c r="A1316" s="14"/>
      <c r="B1316" s="129"/>
      <c r="C1316" s="129"/>
      <c r="D1316" s="129"/>
      <c r="E1316" s="129"/>
      <c r="F1316" s="129"/>
      <c r="G1316" s="129"/>
      <c r="H1316" s="129"/>
      <c r="I1316" s="129"/>
      <c r="J1316" s="129"/>
      <c r="K1316" s="129"/>
      <c r="L1316" s="129"/>
      <c r="M1316" s="129"/>
      <c r="N1316" s="852"/>
      <c r="O1316" s="852"/>
      <c r="P1316" s="852"/>
      <c r="Q1316" s="852"/>
      <c r="R1316" s="852"/>
      <c r="S1316" s="852"/>
      <c r="T1316" s="852"/>
      <c r="U1316" s="852"/>
      <c r="V1316" s="27"/>
    </row>
    <row r="1317" spans="1:32" s="20" customFormat="1" ht="15.75" customHeight="1">
      <c r="A1317" s="14"/>
      <c r="B1317" s="774" t="s">
        <v>115</v>
      </c>
      <c r="C1317" s="775" t="str">
        <f>'[1]4.NERACA'!C117</f>
        <v>Bangunan Pengembangan Sumber Air dan Air Tanah</v>
      </c>
      <c r="D1317" s="775"/>
      <c r="E1317" s="775"/>
      <c r="F1317" s="775"/>
      <c r="G1317" s="775"/>
      <c r="H1317" s="775"/>
      <c r="I1317" s="775"/>
      <c r="J1317" s="775"/>
      <c r="K1317" s="775"/>
      <c r="L1317" s="775"/>
      <c r="M1317" s="775"/>
      <c r="N1317" s="775"/>
      <c r="O1317" s="775"/>
      <c r="P1317" s="775"/>
      <c r="Q1317" s="775"/>
      <c r="R1317" s="775"/>
      <c r="S1317" s="775"/>
      <c r="T1317" s="775"/>
      <c r="U1317" s="775"/>
      <c r="V1317" s="27"/>
    </row>
    <row r="1318" spans="1:32" s="20" customFormat="1" ht="67.5" customHeight="1">
      <c r="A1318" s="14"/>
      <c r="C1318" s="313" t="str">
        <f>"Nilai aset tetap berupa "&amp;C1317&amp;"  per "&amp;'[1]2.ISIAN DATA SKPD'!D8&amp;" dan  "&amp;'[1]2.ISIAN DATA SKPD'!D12&amp;" adalah sebesar Rp. "&amp;FIXED(R1323)&amp;" dan Rp. "&amp;FIXED(B1323)&amp;" tidak mengalami kenaikan/penurunan sebesar Rp. "&amp;FIXED(AC1323)&amp;" atau sebesar "&amp;FIXED(Y1323)&amp;"% dari tahun "&amp;'[1]2.ISIAN DATA SKPD'!D12&amp;"."</f>
        <v>Nilai aset tetap berupa Bangunan Pengembangan Sumber Air dan Air Tanah  per 31 Desember 2017 dan  2016 adalah sebesar Rp. 0.00 dan Rp. 0.00 tidak mengalami kenaikan/penurunan sebesar Rp. 0.00 atau sebesar 0.00% dari tahun 2016.</v>
      </c>
      <c r="D1318" s="313"/>
      <c r="E1318" s="313"/>
      <c r="F1318" s="313"/>
      <c r="G1318" s="313"/>
      <c r="H1318" s="313"/>
      <c r="I1318" s="313"/>
      <c r="J1318" s="313"/>
      <c r="K1318" s="313"/>
      <c r="L1318" s="313"/>
      <c r="M1318" s="313"/>
      <c r="N1318" s="313"/>
      <c r="O1318" s="313"/>
      <c r="P1318" s="313"/>
      <c r="Q1318" s="313"/>
      <c r="R1318" s="313"/>
      <c r="S1318" s="313"/>
      <c r="T1318" s="313"/>
      <c r="U1318" s="313"/>
      <c r="V1318" s="27"/>
    </row>
    <row r="1319" spans="1:32" s="20" customFormat="1" ht="15" customHeight="1">
      <c r="A1319" s="14"/>
      <c r="B1319" s="285"/>
      <c r="C1319" s="313" t="str">
        <f>"Dengan mutasi  selama tahun "&amp;'[1]2.ISIAN DATA SKPD'!D11&amp;" sebagai berikut :"</f>
        <v>Dengan mutasi  selama tahun 2017 sebagai berikut :</v>
      </c>
      <c r="D1319" s="313"/>
      <c r="E1319" s="313"/>
      <c r="F1319" s="313"/>
      <c r="G1319" s="313"/>
      <c r="H1319" s="313"/>
      <c r="I1319" s="313"/>
      <c r="J1319" s="313"/>
      <c r="K1319" s="313"/>
      <c r="L1319" s="313"/>
      <c r="M1319" s="313"/>
      <c r="N1319" s="313"/>
      <c r="O1319" s="313"/>
      <c r="P1319" s="313"/>
      <c r="Q1319" s="313"/>
      <c r="R1319" s="313"/>
      <c r="S1319" s="313"/>
      <c r="T1319" s="313"/>
      <c r="U1319" s="313"/>
      <c r="V1319" s="27"/>
    </row>
    <row r="1320" spans="1:32" s="20" customFormat="1" ht="15" customHeight="1">
      <c r="A1320" s="14"/>
      <c r="B1320" s="285"/>
      <c r="C1320" s="882"/>
      <c r="D1320" s="882"/>
      <c r="E1320" s="882"/>
      <c r="F1320" s="882"/>
      <c r="G1320" s="882"/>
      <c r="H1320" s="882"/>
      <c r="I1320" s="882"/>
      <c r="J1320" s="882"/>
      <c r="K1320" s="882"/>
      <c r="L1320" s="882"/>
      <c r="M1320" s="882"/>
      <c r="N1320" s="882"/>
      <c r="O1320" s="882"/>
      <c r="P1320" s="882"/>
      <c r="Q1320" s="882"/>
      <c r="R1320" s="882"/>
      <c r="S1320" s="882"/>
      <c r="T1320" s="882"/>
      <c r="U1320" s="882"/>
      <c r="V1320" s="27"/>
    </row>
    <row r="1321" spans="1:32" s="20" customFormat="1" ht="38.25" customHeight="1">
      <c r="A1321" s="726" t="s">
        <v>84</v>
      </c>
      <c r="B1321" s="573" t="s">
        <v>411</v>
      </c>
      <c r="C1321" s="457"/>
      <c r="D1321" s="457"/>
      <c r="E1321" s="458"/>
      <c r="F1321" s="786" t="s">
        <v>412</v>
      </c>
      <c r="G1321" s="786"/>
      <c r="H1321" s="786"/>
      <c r="I1321" s="786"/>
      <c r="J1321" s="786"/>
      <c r="K1321" s="786"/>
      <c r="L1321" s="786" t="s">
        <v>413</v>
      </c>
      <c r="M1321" s="786"/>
      <c r="N1321" s="786"/>
      <c r="O1321" s="786"/>
      <c r="P1321" s="786"/>
      <c r="Q1321" s="786"/>
      <c r="R1321" s="99" t="s">
        <v>414</v>
      </c>
      <c r="S1321" s="99"/>
      <c r="T1321" s="99"/>
      <c r="U1321" s="99"/>
      <c r="V1321" s="27"/>
    </row>
    <row r="1322" spans="1:32" s="20" customFormat="1" ht="21" customHeight="1">
      <c r="A1322" s="732"/>
      <c r="B1322" s="787">
        <f>B1309</f>
        <v>2017</v>
      </c>
      <c r="C1322" s="788"/>
      <c r="D1322" s="788"/>
      <c r="E1322" s="789"/>
      <c r="F1322" s="99" t="s">
        <v>415</v>
      </c>
      <c r="G1322" s="99"/>
      <c r="H1322" s="99"/>
      <c r="I1322" s="99" t="s">
        <v>416</v>
      </c>
      <c r="J1322" s="99"/>
      <c r="K1322" s="99"/>
      <c r="L1322" s="99" t="s">
        <v>415</v>
      </c>
      <c r="M1322" s="99"/>
      <c r="N1322" s="99"/>
      <c r="O1322" s="790" t="s">
        <v>416</v>
      </c>
      <c r="P1322" s="790"/>
      <c r="Q1322" s="790"/>
      <c r="R1322" s="776">
        <f>R1309</f>
        <v>2017</v>
      </c>
      <c r="S1322" s="791"/>
      <c r="T1322" s="791"/>
      <c r="U1322" s="792"/>
      <c r="V1322" s="804"/>
      <c r="W1322" s="805"/>
      <c r="X1322" s="805"/>
      <c r="Y1322" s="208" t="s">
        <v>417</v>
      </c>
      <c r="Z1322" s="805"/>
      <c r="AA1322" s="805"/>
      <c r="AB1322" s="805"/>
      <c r="AC1322" s="712" t="s">
        <v>404</v>
      </c>
      <c r="AD1322" s="713"/>
      <c r="AE1322" s="713"/>
      <c r="AF1322" s="806"/>
    </row>
    <row r="1323" spans="1:32" s="20" customFormat="1" ht="51.75" customHeight="1">
      <c r="A1323" s="771" t="str">
        <f>C1317</f>
        <v>Bangunan Pengembangan Sumber Air dan Air Tanah</v>
      </c>
      <c r="B1323" s="853">
        <f>'[1]4.NERACA'!D117</f>
        <v>0</v>
      </c>
      <c r="C1323" s="854"/>
      <c r="D1323" s="854"/>
      <c r="E1323" s="855"/>
      <c r="F1323" s="853">
        <f>'[1]4.NERACA'!E116</f>
        <v>0</v>
      </c>
      <c r="G1323" s="854"/>
      <c r="H1323" s="855"/>
      <c r="I1323" s="853">
        <f>'[1]4.NERACA'!F116</f>
        <v>0</v>
      </c>
      <c r="J1323" s="854"/>
      <c r="K1323" s="855"/>
      <c r="L1323" s="853">
        <f>'[1]4.NERACA'!G116</f>
        <v>0</v>
      </c>
      <c r="M1323" s="854"/>
      <c r="N1323" s="855"/>
      <c r="O1323" s="853">
        <f>'[1]4.NERACA'!H116</f>
        <v>0</v>
      </c>
      <c r="P1323" s="854"/>
      <c r="Q1323" s="855"/>
      <c r="R1323" s="853">
        <f>B1323+F1323-I1323+L1323-O1323</f>
        <v>0</v>
      </c>
      <c r="S1323" s="854"/>
      <c r="T1323" s="854"/>
      <c r="U1323" s="855"/>
      <c r="V1323" s="808"/>
      <c r="W1323" s="805"/>
      <c r="X1323" s="805"/>
      <c r="Y1323" s="208">
        <v>0</v>
      </c>
      <c r="Z1323" s="805"/>
      <c r="AA1323" s="805"/>
      <c r="AB1323" s="805"/>
      <c r="AC1323" s="451">
        <f>R1323-B1323</f>
        <v>0</v>
      </c>
      <c r="AD1323" s="452"/>
      <c r="AE1323" s="452"/>
      <c r="AF1323" s="453"/>
    </row>
    <row r="1324" spans="1:32" s="20" customFormat="1" ht="15" customHeight="1">
      <c r="A1324" s="782"/>
      <c r="B1324" s="772" t="s">
        <v>436</v>
      </c>
      <c r="C1324" s="772"/>
      <c r="D1324" s="772"/>
      <c r="E1324" s="772"/>
      <c r="F1324" s="772"/>
      <c r="G1324" s="772"/>
      <c r="H1324" s="772"/>
      <c r="I1324" s="772"/>
      <c r="J1324" s="772"/>
      <c r="K1324" s="772"/>
      <c r="L1324" s="772"/>
      <c r="M1324" s="772"/>
      <c r="N1324" s="772"/>
      <c r="O1324" s="772"/>
      <c r="P1324" s="772"/>
      <c r="Q1324" s="772"/>
      <c r="R1324" s="772"/>
      <c r="S1324" s="772"/>
      <c r="T1324" s="772"/>
      <c r="U1324" s="772"/>
      <c r="V1324" s="27"/>
    </row>
    <row r="1325" spans="1:32" s="20" customFormat="1" ht="21" customHeight="1">
      <c r="A1325" s="782"/>
      <c r="B1325" s="442"/>
      <c r="C1325" s="428" t="s">
        <v>428</v>
      </c>
      <c r="D1325" s="428"/>
      <c r="E1325" s="428"/>
      <c r="F1325" s="428"/>
      <c r="G1325" s="428"/>
      <c r="H1325" s="428"/>
      <c r="I1325" s="428"/>
      <c r="J1325" s="428"/>
      <c r="K1325" s="428"/>
      <c r="L1325" s="428"/>
      <c r="M1325" s="428"/>
      <c r="N1325" s="428"/>
      <c r="O1325" s="428"/>
      <c r="P1325" s="428"/>
      <c r="Q1325" s="428"/>
      <c r="R1325" s="428"/>
      <c r="S1325" s="428"/>
      <c r="T1325" s="428"/>
      <c r="U1325" s="428"/>
      <c r="V1325" s="27"/>
    </row>
    <row r="1326" spans="1:32" s="20" customFormat="1" ht="18.75" customHeight="1">
      <c r="A1326" s="782"/>
      <c r="B1326" s="442"/>
      <c r="C1326" s="354" t="str">
        <f>"Mutasi Debet sebesar Rp. "&amp;FIXED(F1323+L1323)&amp;" "</f>
        <v xml:space="preserve">Mutasi Debet sebesar Rp. 0.00 </v>
      </c>
      <c r="D1326" s="354"/>
      <c r="E1326" s="354"/>
      <c r="F1326" s="354"/>
      <c r="G1326" s="354"/>
      <c r="H1326" s="354"/>
      <c r="I1326" s="354"/>
      <c r="J1326" s="354"/>
      <c r="K1326" s="354"/>
      <c r="L1326" s="354"/>
      <c r="M1326" s="354"/>
      <c r="N1326" s="354"/>
      <c r="O1326" s="354"/>
      <c r="P1326" s="354"/>
      <c r="Q1326" s="354"/>
      <c r="R1326" s="354"/>
      <c r="S1326" s="354"/>
      <c r="T1326" s="354"/>
      <c r="U1326" s="354"/>
      <c r="V1326" s="27"/>
    </row>
    <row r="1327" spans="1:32" s="20" customFormat="1" ht="18.75" customHeight="1">
      <c r="A1327" s="782"/>
      <c r="B1327" s="442"/>
      <c r="C1327" s="428" t="s">
        <v>430</v>
      </c>
      <c r="D1327" s="428"/>
      <c r="E1327" s="428"/>
      <c r="F1327" s="428"/>
      <c r="G1327" s="428"/>
      <c r="H1327" s="428"/>
      <c r="I1327" s="428"/>
      <c r="J1327" s="428"/>
      <c r="K1327" s="428"/>
      <c r="L1327" s="428"/>
      <c r="M1327" s="428"/>
      <c r="N1327" s="428"/>
      <c r="O1327" s="428"/>
      <c r="P1327" s="428"/>
      <c r="Q1327" s="428"/>
      <c r="R1327" s="428"/>
      <c r="S1327" s="428"/>
      <c r="T1327" s="428"/>
      <c r="U1327" s="428"/>
      <c r="V1327" s="27"/>
    </row>
    <row r="1328" spans="1:32" s="20" customFormat="1" ht="15" customHeight="1">
      <c r="A1328" s="782"/>
      <c r="B1328" s="784"/>
      <c r="C1328" s="354" t="str">
        <f>"Mutasi Kredit Rp. "&amp;FIXED(I1323+O1323)&amp;" "</f>
        <v xml:space="preserve">Mutasi Kredit Rp. 0.00 </v>
      </c>
      <c r="D1328" s="354"/>
      <c r="E1328" s="354"/>
      <c r="F1328" s="354"/>
      <c r="G1328" s="354"/>
      <c r="H1328" s="354"/>
      <c r="I1328" s="354"/>
      <c r="J1328" s="354"/>
      <c r="K1328" s="354"/>
      <c r="L1328" s="354"/>
      <c r="M1328" s="354"/>
      <c r="N1328" s="354"/>
      <c r="O1328" s="354"/>
      <c r="P1328" s="354"/>
      <c r="Q1328" s="354"/>
      <c r="R1328" s="354"/>
      <c r="S1328" s="354"/>
      <c r="T1328" s="354"/>
      <c r="U1328" s="354"/>
      <c r="V1328" s="27"/>
    </row>
    <row r="1329" spans="1:32" s="20" customFormat="1" ht="17.25" customHeight="1">
      <c r="A1329" s="14"/>
      <c r="B1329" s="385"/>
      <c r="C1329" s="385"/>
      <c r="D1329" s="385"/>
      <c r="E1329" s="385"/>
      <c r="F1329" s="385"/>
      <c r="G1329" s="385"/>
      <c r="H1329" s="385"/>
      <c r="I1329" s="385"/>
      <c r="J1329" s="385"/>
      <c r="K1329" s="385"/>
      <c r="L1329" s="385"/>
      <c r="M1329" s="385"/>
      <c r="N1329" s="483"/>
      <c r="O1329" s="483"/>
      <c r="P1329" s="483"/>
      <c r="Q1329" s="483"/>
      <c r="R1329" s="483"/>
      <c r="S1329" s="483"/>
      <c r="T1329" s="483"/>
      <c r="U1329" s="483"/>
      <c r="V1329" s="27"/>
    </row>
    <row r="1330" spans="1:32" s="20" customFormat="1" ht="21" customHeight="1">
      <c r="A1330" s="14"/>
      <c r="B1330" s="774" t="s">
        <v>284</v>
      </c>
      <c r="C1330" s="775" t="str">
        <f>'[1]4.NERACA'!C118</f>
        <v>Bangunan Air Bersih/Baku</v>
      </c>
      <c r="D1330" s="775"/>
      <c r="E1330" s="775"/>
      <c r="F1330" s="775"/>
      <c r="G1330" s="775"/>
      <c r="H1330" s="775"/>
      <c r="I1330" s="775"/>
      <c r="J1330" s="775"/>
      <c r="K1330" s="775"/>
      <c r="L1330" s="775"/>
      <c r="M1330" s="775"/>
      <c r="N1330" s="775"/>
      <c r="O1330" s="775"/>
      <c r="P1330" s="775"/>
      <c r="Q1330" s="775"/>
      <c r="R1330" s="775"/>
      <c r="S1330" s="775"/>
      <c r="T1330" s="775"/>
      <c r="U1330" s="775"/>
      <c r="V1330" s="27"/>
    </row>
    <row r="1331" spans="1:32" s="20" customFormat="1" ht="72" customHeight="1">
      <c r="A1331" s="14"/>
      <c r="C1331" s="313" t="str">
        <f>"Nilai aset tetap berupa "&amp;C1330&amp;"  per "&amp;'[1]2.ISIAN DATA SKPD'!D8&amp;" dan  "&amp;'[1]2.ISIAN DATA SKPD'!D12&amp;" adalah sebesar Rp. "&amp;FIXED(R1336)&amp;" dan Rp. "&amp;FIXED(B1336)&amp;" tidak mengalami kenaikan/penurunan sebesar Rp. "&amp;FIXED(AC1336)&amp;" atau sebesar "&amp;FIXED(Y1336)&amp;"% dari tahun "&amp;'[1]2.ISIAN DATA SKPD'!D12&amp;"."</f>
        <v>Nilai aset tetap berupa Bangunan Air Bersih/Baku  per 31 Desember 2017 dan  2016 adalah sebesar Rp. 13,094,849,651.00 dan Rp. 13,094,849,651.00 tidak mengalami kenaikan/penurunan sebesar Rp. 0.00 atau sebesar 0.00% dari tahun 2016.</v>
      </c>
      <c r="D1331" s="313"/>
      <c r="E1331" s="313"/>
      <c r="F1331" s="313"/>
      <c r="G1331" s="313"/>
      <c r="H1331" s="313"/>
      <c r="I1331" s="313"/>
      <c r="J1331" s="313"/>
      <c r="K1331" s="313"/>
      <c r="L1331" s="313"/>
      <c r="M1331" s="313"/>
      <c r="N1331" s="313"/>
      <c r="O1331" s="313"/>
      <c r="P1331" s="313"/>
      <c r="Q1331" s="313"/>
      <c r="R1331" s="313"/>
      <c r="S1331" s="313"/>
      <c r="T1331" s="313"/>
      <c r="U1331" s="313"/>
      <c r="V1331" s="27"/>
    </row>
    <row r="1332" spans="1:32" s="20" customFormat="1" ht="15" customHeight="1">
      <c r="A1332" s="14"/>
      <c r="B1332" s="285"/>
      <c r="C1332" s="313" t="str">
        <f>"Dengan mutasi  selama tahun "&amp;'[1]2.ISIAN DATA SKPD'!D11&amp;" sebagai berikut :"</f>
        <v>Dengan mutasi  selama tahun 2017 sebagai berikut :</v>
      </c>
      <c r="D1332" s="313"/>
      <c r="E1332" s="313"/>
      <c r="F1332" s="313"/>
      <c r="G1332" s="313"/>
      <c r="H1332" s="313"/>
      <c r="I1332" s="313"/>
      <c r="J1332" s="313"/>
      <c r="K1332" s="313"/>
      <c r="L1332" s="313"/>
      <c r="M1332" s="313"/>
      <c r="N1332" s="313"/>
      <c r="O1332" s="313"/>
      <c r="P1332" s="313"/>
      <c r="Q1332" s="313"/>
      <c r="R1332" s="313"/>
      <c r="S1332" s="313"/>
      <c r="T1332" s="313"/>
      <c r="U1332" s="313"/>
      <c r="V1332" s="27"/>
    </row>
    <row r="1333" spans="1:32" s="20" customFormat="1" ht="12.75" customHeight="1">
      <c r="A1333" s="14"/>
      <c r="B1333" s="285"/>
      <c r="C1333" s="882"/>
      <c r="D1333" s="882"/>
      <c r="E1333" s="882"/>
      <c r="F1333" s="882"/>
      <c r="G1333" s="882"/>
      <c r="H1333" s="882"/>
      <c r="I1333" s="882"/>
      <c r="J1333" s="882"/>
      <c r="K1333" s="882"/>
      <c r="L1333" s="882"/>
      <c r="M1333" s="882"/>
      <c r="N1333" s="882"/>
      <c r="O1333" s="882"/>
      <c r="P1333" s="882"/>
      <c r="Q1333" s="882"/>
      <c r="R1333" s="882"/>
      <c r="S1333" s="882"/>
      <c r="T1333" s="882"/>
      <c r="U1333" s="882"/>
      <c r="V1333" s="27"/>
    </row>
    <row r="1334" spans="1:32" s="20" customFormat="1" ht="24.75" customHeight="1">
      <c r="A1334" s="726" t="s">
        <v>84</v>
      </c>
      <c r="B1334" s="727" t="s">
        <v>411</v>
      </c>
      <c r="C1334" s="728"/>
      <c r="D1334" s="728"/>
      <c r="E1334" s="729"/>
      <c r="F1334" s="730" t="s">
        <v>412</v>
      </c>
      <c r="G1334" s="730"/>
      <c r="H1334" s="730"/>
      <c r="I1334" s="730"/>
      <c r="J1334" s="730"/>
      <c r="K1334" s="730"/>
      <c r="L1334" s="730" t="s">
        <v>413</v>
      </c>
      <c r="M1334" s="730"/>
      <c r="N1334" s="730"/>
      <c r="O1334" s="730"/>
      <c r="P1334" s="730"/>
      <c r="Q1334" s="730"/>
      <c r="R1334" s="731" t="s">
        <v>414</v>
      </c>
      <c r="S1334" s="731"/>
      <c r="T1334" s="731"/>
      <c r="U1334" s="731"/>
      <c r="V1334" s="27"/>
    </row>
    <row r="1335" spans="1:32" s="20" customFormat="1" ht="22.5" customHeight="1">
      <c r="A1335" s="732"/>
      <c r="B1335" s="733">
        <f>B1322</f>
        <v>2017</v>
      </c>
      <c r="C1335" s="734"/>
      <c r="D1335" s="734"/>
      <c r="E1335" s="735"/>
      <c r="F1335" s="727" t="s">
        <v>415</v>
      </c>
      <c r="G1335" s="728"/>
      <c r="H1335" s="729"/>
      <c r="I1335" s="727" t="s">
        <v>416</v>
      </c>
      <c r="J1335" s="728"/>
      <c r="K1335" s="729"/>
      <c r="L1335" s="727" t="s">
        <v>415</v>
      </c>
      <c r="M1335" s="728"/>
      <c r="N1335" s="729"/>
      <c r="O1335" s="255" t="s">
        <v>416</v>
      </c>
      <c r="P1335" s="256"/>
      <c r="Q1335" s="257"/>
      <c r="R1335" s="776">
        <f>R1322</f>
        <v>2017</v>
      </c>
      <c r="S1335" s="791"/>
      <c r="T1335" s="791"/>
      <c r="U1335" s="792"/>
      <c r="V1335" s="804"/>
      <c r="W1335" s="805"/>
      <c r="X1335" s="805"/>
      <c r="Y1335" s="208" t="s">
        <v>417</v>
      </c>
      <c r="Z1335" s="805"/>
      <c r="AA1335" s="805"/>
      <c r="AB1335" s="805"/>
      <c r="AC1335" s="712" t="s">
        <v>404</v>
      </c>
      <c r="AD1335" s="713"/>
      <c r="AE1335" s="713"/>
      <c r="AF1335" s="806"/>
    </row>
    <row r="1336" spans="1:32" s="20" customFormat="1" ht="39" customHeight="1">
      <c r="A1336" s="771" t="str">
        <f>C1330</f>
        <v>Bangunan Air Bersih/Baku</v>
      </c>
      <c r="B1336" s="886">
        <f>'[1]4.NERACA'!D118</f>
        <v>13094849651</v>
      </c>
      <c r="C1336" s="887"/>
      <c r="D1336" s="887"/>
      <c r="E1336" s="888"/>
      <c r="F1336" s="886">
        <f>'[1]4.NERACA'!E118</f>
        <v>0</v>
      </c>
      <c r="G1336" s="887"/>
      <c r="H1336" s="888"/>
      <c r="I1336" s="886">
        <f>'[1]4.NERACA'!F118</f>
        <v>3161695200</v>
      </c>
      <c r="J1336" s="887"/>
      <c r="K1336" s="888"/>
      <c r="L1336" s="886">
        <f>'[1]4.NERACA'!G118</f>
        <v>3161695200</v>
      </c>
      <c r="M1336" s="887"/>
      <c r="N1336" s="888"/>
      <c r="O1336" s="886">
        <f>'[1]4.NERACA'!H118</f>
        <v>0</v>
      </c>
      <c r="P1336" s="887"/>
      <c r="Q1336" s="888"/>
      <c r="R1336" s="886">
        <f>B1336+F1336-I1336+L1336-O1336</f>
        <v>13094849651</v>
      </c>
      <c r="S1336" s="887"/>
      <c r="T1336" s="887"/>
      <c r="U1336" s="888"/>
      <c r="V1336" s="808"/>
      <c r="W1336" s="805"/>
      <c r="X1336" s="805"/>
      <c r="Y1336" s="208">
        <f>(R1336-B1336)/B1336*100</f>
        <v>0</v>
      </c>
      <c r="Z1336" s="805"/>
      <c r="AA1336" s="805"/>
      <c r="AB1336" s="805"/>
      <c r="AC1336" s="451">
        <f>R1336-B1336</f>
        <v>0</v>
      </c>
      <c r="AD1336" s="452"/>
      <c r="AE1336" s="452"/>
      <c r="AF1336" s="453"/>
    </row>
    <row r="1337" spans="1:32" s="20" customFormat="1" ht="24.75" customHeight="1">
      <c r="A1337" s="782"/>
      <c r="B1337" s="772" t="s">
        <v>436</v>
      </c>
      <c r="C1337" s="772"/>
      <c r="D1337" s="772"/>
      <c r="E1337" s="772"/>
      <c r="F1337" s="772"/>
      <c r="G1337" s="772"/>
      <c r="H1337" s="772"/>
      <c r="I1337" s="772"/>
      <c r="J1337" s="772"/>
      <c r="K1337" s="772"/>
      <c r="L1337" s="772"/>
      <c r="M1337" s="772"/>
      <c r="N1337" s="772"/>
      <c r="O1337" s="772"/>
      <c r="P1337" s="772"/>
      <c r="Q1337" s="772"/>
      <c r="R1337" s="772"/>
      <c r="S1337" s="772"/>
      <c r="T1337" s="772"/>
      <c r="U1337" s="772"/>
      <c r="V1337" s="27"/>
    </row>
    <row r="1338" spans="1:32" s="20" customFormat="1" ht="30.75" customHeight="1">
      <c r="A1338" s="782"/>
      <c r="B1338" s="442"/>
      <c r="C1338" s="428" t="s">
        <v>428</v>
      </c>
      <c r="D1338" s="428"/>
      <c r="E1338" s="428"/>
      <c r="F1338" s="428"/>
      <c r="G1338" s="428"/>
      <c r="H1338" s="428"/>
      <c r="I1338" s="428"/>
      <c r="J1338" s="428"/>
      <c r="K1338" s="428"/>
      <c r="L1338" s="428"/>
      <c r="M1338" s="428"/>
      <c r="N1338" s="428"/>
      <c r="O1338" s="428"/>
      <c r="P1338" s="428"/>
      <c r="Q1338" s="428"/>
      <c r="R1338" s="428"/>
      <c r="S1338" s="428"/>
      <c r="T1338" s="428"/>
      <c r="U1338" s="428"/>
      <c r="V1338" s="27"/>
    </row>
    <row r="1339" spans="1:32" s="20" customFormat="1" ht="63.75" customHeight="1">
      <c r="A1339" s="782"/>
      <c r="B1339" s="442"/>
      <c r="C1339" s="354" t="str">
        <f>"Mutasi Debet sebesar Rp. "&amp;FIXED(F1336+L1336)&amp;" adalah hasil reklas tahun "&amp;'[1]2.ISIAN DATA SKPD'!D11&amp;" dari belanja modal berupa  bangunan pembawa air bersih ke instalasi air bersih  "</f>
        <v xml:space="preserve">Mutasi Debet sebesar Rp. 3,161,695,200.00 adalah hasil reklas tahun 2017 dari belanja modal berupa  bangunan pembawa air bersih ke instalasi air bersih  </v>
      </c>
      <c r="D1339" s="354"/>
      <c r="E1339" s="354"/>
      <c r="F1339" s="354"/>
      <c r="G1339" s="354"/>
      <c r="H1339" s="354"/>
      <c r="I1339" s="354"/>
      <c r="J1339" s="354"/>
      <c r="K1339" s="354"/>
      <c r="L1339" s="354"/>
      <c r="M1339" s="354"/>
      <c r="N1339" s="354"/>
      <c r="O1339" s="354"/>
      <c r="P1339" s="354"/>
      <c r="Q1339" s="354"/>
      <c r="R1339" s="354"/>
      <c r="S1339" s="354"/>
      <c r="T1339" s="354"/>
      <c r="U1339" s="354"/>
      <c r="V1339" s="27"/>
    </row>
    <row r="1340" spans="1:32" s="20" customFormat="1" ht="22.5" customHeight="1">
      <c r="A1340" s="782"/>
      <c r="B1340" s="442"/>
      <c r="C1340" s="428" t="s">
        <v>430</v>
      </c>
      <c r="D1340" s="428"/>
      <c r="E1340" s="428"/>
      <c r="F1340" s="428"/>
      <c r="G1340" s="428"/>
      <c r="H1340" s="428"/>
      <c r="I1340" s="428"/>
      <c r="J1340" s="428"/>
      <c r="K1340" s="428"/>
      <c r="L1340" s="428"/>
      <c r="M1340" s="428"/>
      <c r="N1340" s="428"/>
      <c r="O1340" s="428"/>
      <c r="P1340" s="428"/>
      <c r="Q1340" s="428"/>
      <c r="R1340" s="428"/>
      <c r="S1340" s="428"/>
      <c r="T1340" s="428"/>
      <c r="U1340" s="428"/>
      <c r="V1340" s="27"/>
    </row>
    <row r="1341" spans="1:32" s="20" customFormat="1" ht="48.75" customHeight="1">
      <c r="A1341" s="782"/>
      <c r="B1341" s="784"/>
      <c r="C1341" s="354" t="str">
        <f>"Mutasi Kredit Rp. "&amp;FIXED(I1336+O1336)&amp;" adalah penghapusan berupa  reklas dari belanja bangunan pembawa air bersih ke instalasi air bersih senilai Rp 3.161. 695.200 "</f>
        <v xml:space="preserve">Mutasi Kredit Rp. 3,161,695,200.00 adalah penghapusan berupa  reklas dari belanja bangunan pembawa air bersih ke instalasi air bersih senilai Rp 3.161. 695.200 </v>
      </c>
      <c r="D1341" s="354"/>
      <c r="E1341" s="354"/>
      <c r="F1341" s="354"/>
      <c r="G1341" s="354"/>
      <c r="H1341" s="354"/>
      <c r="I1341" s="354"/>
      <c r="J1341" s="354"/>
      <c r="K1341" s="354"/>
      <c r="L1341" s="354"/>
      <c r="M1341" s="354"/>
      <c r="N1341" s="354"/>
      <c r="O1341" s="354"/>
      <c r="P1341" s="354"/>
      <c r="Q1341" s="354"/>
      <c r="R1341" s="354"/>
      <c r="S1341" s="354"/>
      <c r="T1341" s="354"/>
      <c r="U1341" s="354"/>
      <c r="V1341" s="27"/>
    </row>
    <row r="1342" spans="1:32" s="20" customFormat="1" ht="9" customHeight="1">
      <c r="A1342" s="14"/>
      <c r="B1342" s="385"/>
      <c r="C1342" s="385"/>
      <c r="D1342" s="385"/>
      <c r="E1342" s="385"/>
      <c r="F1342" s="385"/>
      <c r="G1342" s="385"/>
      <c r="H1342" s="385"/>
      <c r="I1342" s="385"/>
      <c r="J1342" s="385"/>
      <c r="K1342" s="385"/>
      <c r="L1342" s="385"/>
      <c r="M1342" s="385"/>
      <c r="N1342" s="483"/>
      <c r="O1342" s="483"/>
      <c r="P1342" s="483"/>
      <c r="Q1342" s="483"/>
      <c r="R1342" s="483"/>
      <c r="S1342" s="483"/>
      <c r="T1342" s="483"/>
      <c r="U1342" s="483"/>
      <c r="V1342" s="27"/>
    </row>
    <row r="1343" spans="1:32" s="20" customFormat="1" ht="24.75" customHeight="1">
      <c r="A1343" s="14"/>
      <c r="B1343" s="774" t="s">
        <v>440</v>
      </c>
      <c r="C1343" s="775" t="str">
        <f>'[1]4.NERACA'!C119</f>
        <v>Bangunan Air Kotor</v>
      </c>
      <c r="D1343" s="775"/>
      <c r="E1343" s="775"/>
      <c r="F1343" s="775"/>
      <c r="G1343" s="775"/>
      <c r="H1343" s="775"/>
      <c r="I1343" s="775"/>
      <c r="J1343" s="775"/>
      <c r="K1343" s="775"/>
      <c r="L1343" s="775"/>
      <c r="M1343" s="775"/>
      <c r="N1343" s="775"/>
      <c r="O1343" s="775"/>
      <c r="P1343" s="775"/>
      <c r="Q1343" s="775"/>
      <c r="R1343" s="775"/>
      <c r="S1343" s="775"/>
      <c r="T1343" s="775"/>
      <c r="U1343" s="775"/>
      <c r="V1343" s="27"/>
    </row>
    <row r="1344" spans="1:32" s="20" customFormat="1" ht="68.25" customHeight="1">
      <c r="A1344" s="14"/>
      <c r="C1344" s="313" t="str">
        <f>"Nilai aset tetap berupa "&amp;C1343&amp;"  per "&amp;'[1]2.ISIAN DATA SKPD'!D11&amp;" dan  "&amp;'[1]2.ISIAN DATA SKPD'!D12&amp;" adalah sebesar Rp. "&amp;FIXED(R1349)&amp;" dan Rp. "&amp;FIXED(B1349)&amp;" tidak mengalami kenaikan/penurunan sebesar Rp. "&amp;FIXED(AC1349)&amp;" atau sebesar "&amp;FIXED(Y1349)&amp;"% dari tahun "&amp;'[1]2.ISIAN DATA SKPD'!D12&amp;"."</f>
        <v>Nilai aset tetap berupa Bangunan Air Kotor  per 2017 dan  2016 adalah sebesar Rp. 12,388,471,152.00 dan Rp. 12,388,471,152.00 tidak mengalami kenaikan/penurunan sebesar Rp. 0.00 atau sebesar 0.00% dari tahun 2016.</v>
      </c>
      <c r="D1344" s="313"/>
      <c r="E1344" s="313"/>
      <c r="F1344" s="313"/>
      <c r="G1344" s="313"/>
      <c r="H1344" s="313"/>
      <c r="I1344" s="313"/>
      <c r="J1344" s="313"/>
      <c r="K1344" s="313"/>
      <c r="L1344" s="313"/>
      <c r="M1344" s="313"/>
      <c r="N1344" s="313"/>
      <c r="O1344" s="313"/>
      <c r="P1344" s="313"/>
      <c r="Q1344" s="313"/>
      <c r="R1344" s="313"/>
      <c r="S1344" s="313"/>
      <c r="T1344" s="313"/>
      <c r="U1344" s="313"/>
      <c r="V1344" s="27"/>
    </row>
    <row r="1345" spans="1:32" s="20" customFormat="1" ht="17.25" customHeight="1">
      <c r="A1345" s="14"/>
      <c r="C1345" s="313" t="str">
        <f>"Dengan mutasi  selama tahun "&amp;'[1]2.ISIAN DATA SKPD'!D11&amp;" sebagai berikut :"</f>
        <v>Dengan mutasi  selama tahun 2017 sebagai berikut :</v>
      </c>
      <c r="D1345" s="313"/>
      <c r="E1345" s="313"/>
      <c r="F1345" s="313"/>
      <c r="G1345" s="313"/>
      <c r="H1345" s="313"/>
      <c r="I1345" s="313"/>
      <c r="J1345" s="313"/>
      <c r="K1345" s="313"/>
      <c r="L1345" s="313"/>
      <c r="M1345" s="313"/>
      <c r="N1345" s="313"/>
      <c r="O1345" s="313"/>
      <c r="P1345" s="313"/>
      <c r="Q1345" s="313"/>
      <c r="R1345" s="313"/>
      <c r="S1345" s="313"/>
      <c r="T1345" s="313"/>
      <c r="U1345" s="313"/>
      <c r="V1345" s="27"/>
    </row>
    <row r="1346" spans="1:32" s="20" customFormat="1" ht="12.75" customHeight="1">
      <c r="A1346" s="14"/>
      <c r="C1346" s="882"/>
      <c r="D1346" s="882"/>
      <c r="E1346" s="882"/>
      <c r="F1346" s="882"/>
      <c r="G1346" s="882"/>
      <c r="H1346" s="882"/>
      <c r="I1346" s="882"/>
      <c r="J1346" s="882"/>
      <c r="K1346" s="882"/>
      <c r="L1346" s="882"/>
      <c r="M1346" s="882"/>
      <c r="N1346" s="882"/>
      <c r="O1346" s="882"/>
      <c r="P1346" s="882"/>
      <c r="Q1346" s="882"/>
      <c r="R1346" s="882"/>
      <c r="S1346" s="882"/>
      <c r="T1346" s="882"/>
      <c r="U1346" s="882"/>
      <c r="V1346" s="27"/>
    </row>
    <row r="1347" spans="1:32" s="20" customFormat="1" ht="26.25" customHeight="1">
      <c r="A1347" s="726" t="s">
        <v>84</v>
      </c>
      <c r="B1347" s="727" t="s">
        <v>411</v>
      </c>
      <c r="C1347" s="728"/>
      <c r="D1347" s="728"/>
      <c r="E1347" s="729"/>
      <c r="F1347" s="730" t="s">
        <v>412</v>
      </c>
      <c r="G1347" s="730"/>
      <c r="H1347" s="730"/>
      <c r="I1347" s="730"/>
      <c r="J1347" s="730"/>
      <c r="K1347" s="730"/>
      <c r="L1347" s="730" t="s">
        <v>413</v>
      </c>
      <c r="M1347" s="730"/>
      <c r="N1347" s="730"/>
      <c r="O1347" s="730"/>
      <c r="P1347" s="730"/>
      <c r="Q1347" s="730"/>
      <c r="R1347" s="731" t="s">
        <v>414</v>
      </c>
      <c r="S1347" s="731"/>
      <c r="T1347" s="731"/>
      <c r="U1347" s="731"/>
      <c r="V1347" s="27"/>
    </row>
    <row r="1348" spans="1:32" s="20" customFormat="1" ht="18.75" customHeight="1">
      <c r="A1348" s="732"/>
      <c r="B1348" s="733">
        <f>B1335</f>
        <v>2017</v>
      </c>
      <c r="C1348" s="734"/>
      <c r="D1348" s="734"/>
      <c r="E1348" s="735"/>
      <c r="F1348" s="731" t="s">
        <v>415</v>
      </c>
      <c r="G1348" s="731"/>
      <c r="H1348" s="731"/>
      <c r="I1348" s="731" t="s">
        <v>416</v>
      </c>
      <c r="J1348" s="731"/>
      <c r="K1348" s="731"/>
      <c r="L1348" s="731" t="s">
        <v>415</v>
      </c>
      <c r="M1348" s="731"/>
      <c r="N1348" s="731"/>
      <c r="O1348" s="736" t="s">
        <v>416</v>
      </c>
      <c r="P1348" s="736"/>
      <c r="Q1348" s="736"/>
      <c r="R1348" s="776">
        <f>R1335</f>
        <v>2017</v>
      </c>
      <c r="S1348" s="791"/>
      <c r="T1348" s="791"/>
      <c r="U1348" s="792"/>
      <c r="V1348" s="804"/>
      <c r="W1348" s="805"/>
      <c r="X1348" s="805"/>
      <c r="Y1348" s="208" t="s">
        <v>417</v>
      </c>
      <c r="Z1348" s="805"/>
      <c r="AA1348" s="805"/>
      <c r="AB1348" s="805"/>
      <c r="AC1348" s="712" t="s">
        <v>404</v>
      </c>
      <c r="AD1348" s="713"/>
      <c r="AE1348" s="713"/>
      <c r="AF1348" s="806"/>
    </row>
    <row r="1349" spans="1:32" s="20" customFormat="1" ht="36" customHeight="1">
      <c r="A1349" s="771" t="str">
        <f>C1343</f>
        <v>Bangunan Air Kotor</v>
      </c>
      <c r="B1349" s="148">
        <f>'[1]4.NERACA'!D119</f>
        <v>12388471152</v>
      </c>
      <c r="C1349" s="149"/>
      <c r="D1349" s="149"/>
      <c r="E1349" s="150"/>
      <c r="F1349" s="148">
        <f>'[1]4.NERACA'!E119</f>
        <v>0</v>
      </c>
      <c r="G1349" s="149"/>
      <c r="H1349" s="150"/>
      <c r="I1349" s="148">
        <f>'[1]4.NERACA'!F119</f>
        <v>0</v>
      </c>
      <c r="J1349" s="149"/>
      <c r="K1349" s="150"/>
      <c r="L1349" s="148">
        <f>'[1]4.NERACA'!G119</f>
        <v>0</v>
      </c>
      <c r="M1349" s="149"/>
      <c r="N1349" s="150"/>
      <c r="O1349" s="148">
        <f>'[1]4.NERACA'!H119</f>
        <v>0</v>
      </c>
      <c r="P1349" s="149"/>
      <c r="Q1349" s="150"/>
      <c r="R1349" s="837">
        <f>B1349+F1349-I1349+L1349-O1349</f>
        <v>12388471152</v>
      </c>
      <c r="S1349" s="838"/>
      <c r="T1349" s="838"/>
      <c r="U1349" s="839"/>
      <c r="V1349" s="808"/>
      <c r="W1349" s="805"/>
      <c r="X1349" s="805"/>
      <c r="Y1349" s="208">
        <f>(R1349-B1349)/B1349*100</f>
        <v>0</v>
      </c>
      <c r="Z1349" s="805"/>
      <c r="AA1349" s="805"/>
      <c r="AB1349" s="805"/>
      <c r="AC1349" s="451">
        <f>R1349-B1349</f>
        <v>0</v>
      </c>
      <c r="AD1349" s="452"/>
      <c r="AE1349" s="452"/>
      <c r="AF1349" s="453"/>
    </row>
    <row r="1350" spans="1:32" s="20" customFormat="1" ht="26.25" customHeight="1">
      <c r="A1350" s="782"/>
      <c r="B1350" s="772" t="s">
        <v>436</v>
      </c>
      <c r="C1350" s="772"/>
      <c r="D1350" s="772"/>
      <c r="E1350" s="772"/>
      <c r="F1350" s="772"/>
      <c r="G1350" s="772"/>
      <c r="H1350" s="772"/>
      <c r="I1350" s="772"/>
      <c r="J1350" s="772"/>
      <c r="K1350" s="772"/>
      <c r="L1350" s="772"/>
      <c r="M1350" s="772"/>
      <c r="N1350" s="772"/>
      <c r="O1350" s="772"/>
      <c r="P1350" s="772"/>
      <c r="Q1350" s="772"/>
      <c r="R1350" s="772"/>
      <c r="S1350" s="772"/>
      <c r="T1350" s="772"/>
      <c r="U1350" s="772"/>
      <c r="V1350" s="27"/>
    </row>
    <row r="1351" spans="1:32" s="20" customFormat="1" ht="18" customHeight="1">
      <c r="A1351" s="782"/>
      <c r="B1351" s="442"/>
      <c r="C1351" s="428" t="s">
        <v>428</v>
      </c>
      <c r="D1351" s="428"/>
      <c r="E1351" s="428"/>
      <c r="F1351" s="428"/>
      <c r="G1351" s="428"/>
      <c r="H1351" s="428"/>
      <c r="I1351" s="428"/>
      <c r="J1351" s="428"/>
      <c r="K1351" s="428"/>
      <c r="L1351" s="428"/>
      <c r="M1351" s="428"/>
      <c r="N1351" s="428"/>
      <c r="O1351" s="428"/>
      <c r="P1351" s="428"/>
      <c r="Q1351" s="428"/>
      <c r="R1351" s="428"/>
      <c r="S1351" s="428"/>
      <c r="T1351" s="428"/>
      <c r="U1351" s="428"/>
      <c r="V1351" s="27"/>
    </row>
    <row r="1352" spans="1:32" s="20" customFormat="1" ht="20.25" customHeight="1">
      <c r="A1352" s="782"/>
      <c r="B1352" s="442"/>
      <c r="C1352" s="354" t="str">
        <f>"Mutasi Debet sebesar Rp. "&amp;FIXED(F1349+L1349)&amp;" "</f>
        <v xml:space="preserve">Mutasi Debet sebesar Rp. 0.00 </v>
      </c>
      <c r="D1352" s="354"/>
      <c r="E1352" s="354"/>
      <c r="F1352" s="354"/>
      <c r="G1352" s="354"/>
      <c r="H1352" s="354"/>
      <c r="I1352" s="354"/>
      <c r="J1352" s="354"/>
      <c r="K1352" s="354"/>
      <c r="L1352" s="354"/>
      <c r="M1352" s="354"/>
      <c r="N1352" s="354"/>
      <c r="O1352" s="354"/>
      <c r="P1352" s="354"/>
      <c r="Q1352" s="354"/>
      <c r="R1352" s="354"/>
      <c r="S1352" s="354"/>
      <c r="T1352" s="354"/>
      <c r="U1352" s="354"/>
      <c r="V1352" s="27"/>
    </row>
    <row r="1353" spans="1:32" s="20" customFormat="1" ht="15" customHeight="1">
      <c r="A1353" s="782"/>
      <c r="B1353" s="442"/>
      <c r="C1353" s="428" t="s">
        <v>430</v>
      </c>
      <c r="D1353" s="428"/>
      <c r="E1353" s="428"/>
      <c r="F1353" s="428"/>
      <c r="G1353" s="428"/>
      <c r="H1353" s="428"/>
      <c r="I1353" s="428"/>
      <c r="J1353" s="428"/>
      <c r="K1353" s="428"/>
      <c r="L1353" s="428"/>
      <c r="M1353" s="428"/>
      <c r="N1353" s="428"/>
      <c r="O1353" s="428"/>
      <c r="P1353" s="428"/>
      <c r="Q1353" s="428"/>
      <c r="R1353" s="428"/>
      <c r="S1353" s="428"/>
      <c r="T1353" s="428"/>
      <c r="U1353" s="428"/>
      <c r="V1353" s="27"/>
    </row>
    <row r="1354" spans="1:32" s="20" customFormat="1" ht="15" customHeight="1">
      <c r="A1354" s="782"/>
      <c r="B1354" s="784"/>
      <c r="C1354" s="354" t="str">
        <f>"Mutasi Kredit Rp. "&amp;FIXED(I1349+O1349)&amp;" "</f>
        <v xml:space="preserve">Mutasi Kredit Rp. 0.00 </v>
      </c>
      <c r="D1354" s="354"/>
      <c r="E1354" s="354"/>
      <c r="F1354" s="354"/>
      <c r="G1354" s="354"/>
      <c r="H1354" s="354"/>
      <c r="I1354" s="354"/>
      <c r="J1354" s="354"/>
      <c r="K1354" s="354"/>
      <c r="L1354" s="354"/>
      <c r="M1354" s="354"/>
      <c r="N1354" s="354"/>
      <c r="O1354" s="354"/>
      <c r="P1354" s="354"/>
      <c r="Q1354" s="354"/>
      <c r="R1354" s="354"/>
      <c r="S1354" s="354"/>
      <c r="T1354" s="354"/>
      <c r="U1354" s="354"/>
      <c r="V1354" s="27"/>
    </row>
    <row r="1355" spans="1:32" s="20" customFormat="1" ht="19.5" customHeight="1">
      <c r="A1355" s="14"/>
      <c r="B1355" s="774" t="s">
        <v>442</v>
      </c>
      <c r="C1355" s="775" t="str">
        <f>'[1]4.NERACA'!C120</f>
        <v>Bangunan Air</v>
      </c>
      <c r="D1355" s="775"/>
      <c r="E1355" s="775"/>
      <c r="F1355" s="775"/>
      <c r="G1355" s="775"/>
      <c r="H1355" s="775"/>
      <c r="I1355" s="775"/>
      <c r="J1355" s="775"/>
      <c r="K1355" s="775"/>
      <c r="L1355" s="775"/>
      <c r="M1355" s="775"/>
      <c r="N1355" s="775"/>
      <c r="O1355" s="775"/>
      <c r="P1355" s="775"/>
      <c r="Q1355" s="775"/>
      <c r="R1355" s="775"/>
      <c r="S1355" s="775"/>
      <c r="T1355" s="775"/>
      <c r="U1355" s="775"/>
      <c r="V1355" s="27"/>
    </row>
    <row r="1356" spans="1:32" s="20" customFormat="1" ht="69" customHeight="1">
      <c r="A1356" s="14"/>
      <c r="C1356" s="313" t="str">
        <f>"Nilai aset tetap berupa "&amp;C1355&amp;"  per "&amp;'[1]2.ISIAN DATA SKPD'!D8&amp;" dan  "&amp;'[1]2.ISIAN DATA SKPD'!D12&amp;" adalah sebesar Rp. "&amp;FIXED(R1361)&amp;" dan Rp. "&amp;FIXED(B1361)&amp;" mengalami kenaikan/penurunan sebesar Rp. "&amp;FIXED(AC1361)&amp;" atau sebesar "&amp;FIXED(Y1361)&amp;"% dari tahun "&amp;'[1]2.ISIAN DATA SKPD'!D12&amp;"."</f>
        <v>Nilai aset tetap berupa Bangunan Air  per 31 Desember 2017 dan  2016 adalah sebesar Rp. 0.00 dan Rp. 0.00 mengalami kenaikan/penurunan sebesar Rp. 0.00 atau sebesar 0.00% dari tahun 2016.</v>
      </c>
      <c r="D1356" s="313"/>
      <c r="E1356" s="313"/>
      <c r="F1356" s="313"/>
      <c r="G1356" s="313"/>
      <c r="H1356" s="313"/>
      <c r="I1356" s="313"/>
      <c r="J1356" s="313"/>
      <c r="K1356" s="313"/>
      <c r="L1356" s="313"/>
      <c r="M1356" s="313"/>
      <c r="N1356" s="313"/>
      <c r="O1356" s="313"/>
      <c r="P1356" s="313"/>
      <c r="Q1356" s="313"/>
      <c r="R1356" s="313"/>
      <c r="S1356" s="313"/>
      <c r="T1356" s="313"/>
      <c r="U1356" s="313"/>
      <c r="V1356" s="27"/>
    </row>
    <row r="1357" spans="1:32" s="20" customFormat="1" ht="22.5" customHeight="1">
      <c r="A1357" s="14"/>
      <c r="B1357" s="285"/>
      <c r="C1357" s="313" t="str">
        <f>"Dengan mutasi  selama tahun "&amp;'[1]2.ISIAN DATA SKPD'!D11&amp;" sebagai berikut :"</f>
        <v>Dengan mutasi  selama tahun 2017 sebagai berikut :</v>
      </c>
      <c r="D1357" s="313"/>
      <c r="E1357" s="313"/>
      <c r="F1357" s="313"/>
      <c r="G1357" s="313"/>
      <c r="H1357" s="313"/>
      <c r="I1357" s="313"/>
      <c r="J1357" s="313"/>
      <c r="K1357" s="313"/>
      <c r="L1357" s="313"/>
      <c r="M1357" s="313"/>
      <c r="N1357" s="313"/>
      <c r="O1357" s="313"/>
      <c r="P1357" s="313"/>
      <c r="Q1357" s="313"/>
      <c r="R1357" s="313"/>
      <c r="S1357" s="313"/>
      <c r="T1357" s="313"/>
      <c r="U1357" s="313"/>
      <c r="V1357" s="27"/>
    </row>
    <row r="1358" spans="1:32" s="20" customFormat="1" ht="6.75" customHeight="1">
      <c r="A1358" s="14"/>
      <c r="B1358" s="285"/>
      <c r="C1358" s="882"/>
      <c r="D1358" s="882"/>
      <c r="E1358" s="882"/>
      <c r="F1358" s="882"/>
      <c r="G1358" s="882"/>
      <c r="H1358" s="882"/>
      <c r="I1358" s="882"/>
      <c r="J1358" s="882"/>
      <c r="K1358" s="882"/>
      <c r="L1358" s="882"/>
      <c r="M1358" s="882"/>
      <c r="N1358" s="882"/>
      <c r="O1358" s="882"/>
      <c r="P1358" s="882"/>
      <c r="Q1358" s="882"/>
      <c r="R1358" s="882"/>
      <c r="S1358" s="882"/>
      <c r="T1358" s="882"/>
      <c r="U1358" s="882"/>
      <c r="V1358" s="27"/>
    </row>
    <row r="1359" spans="1:32" s="20" customFormat="1" ht="23.25" customHeight="1">
      <c r="A1359" s="726" t="s">
        <v>84</v>
      </c>
      <c r="B1359" s="727" t="s">
        <v>411</v>
      </c>
      <c r="C1359" s="728"/>
      <c r="D1359" s="728"/>
      <c r="E1359" s="729"/>
      <c r="F1359" s="730" t="s">
        <v>412</v>
      </c>
      <c r="G1359" s="730"/>
      <c r="H1359" s="730"/>
      <c r="I1359" s="730"/>
      <c r="J1359" s="730"/>
      <c r="K1359" s="730"/>
      <c r="L1359" s="730" t="s">
        <v>413</v>
      </c>
      <c r="M1359" s="730"/>
      <c r="N1359" s="730"/>
      <c r="O1359" s="730"/>
      <c r="P1359" s="730"/>
      <c r="Q1359" s="730"/>
      <c r="R1359" s="731" t="s">
        <v>414</v>
      </c>
      <c r="S1359" s="731"/>
      <c r="T1359" s="731"/>
      <c r="U1359" s="731"/>
      <c r="V1359" s="27"/>
    </row>
    <row r="1360" spans="1:32" s="20" customFormat="1" ht="16.5" customHeight="1">
      <c r="A1360" s="732"/>
      <c r="B1360" s="733">
        <f>B1348</f>
        <v>2017</v>
      </c>
      <c r="C1360" s="734"/>
      <c r="D1360" s="734"/>
      <c r="E1360" s="735"/>
      <c r="F1360" s="731" t="s">
        <v>415</v>
      </c>
      <c r="G1360" s="731"/>
      <c r="H1360" s="731"/>
      <c r="I1360" s="731" t="s">
        <v>416</v>
      </c>
      <c r="J1360" s="731"/>
      <c r="K1360" s="731"/>
      <c r="L1360" s="731" t="s">
        <v>415</v>
      </c>
      <c r="M1360" s="731"/>
      <c r="N1360" s="731"/>
      <c r="O1360" s="736" t="s">
        <v>416</v>
      </c>
      <c r="P1360" s="736"/>
      <c r="Q1360" s="736"/>
      <c r="R1360" s="776">
        <f>R1348</f>
        <v>2017</v>
      </c>
      <c r="S1360" s="791"/>
      <c r="T1360" s="791"/>
      <c r="U1360" s="792"/>
      <c r="V1360" s="804"/>
      <c r="W1360" s="805"/>
      <c r="X1360" s="805"/>
      <c r="Y1360" s="208" t="s">
        <v>417</v>
      </c>
      <c r="Z1360" s="805"/>
      <c r="AA1360" s="805"/>
      <c r="AB1360" s="805"/>
      <c r="AC1360" s="712" t="s">
        <v>404</v>
      </c>
      <c r="AD1360" s="713"/>
      <c r="AE1360" s="713"/>
      <c r="AF1360" s="806"/>
    </row>
    <row r="1361" spans="1:32" s="20" customFormat="1" ht="23.25" customHeight="1">
      <c r="A1361" s="771" t="str">
        <f>C1355</f>
        <v>Bangunan Air</v>
      </c>
      <c r="B1361" s="889">
        <f>'[1]4.NERACA'!D120</f>
        <v>0</v>
      </c>
      <c r="C1361" s="890"/>
      <c r="D1361" s="890"/>
      <c r="E1361" s="891"/>
      <c r="F1361" s="889">
        <f>'[1]4.NERACA'!E119</f>
        <v>0</v>
      </c>
      <c r="G1361" s="890"/>
      <c r="H1361" s="891"/>
      <c r="I1361" s="889">
        <f>'[1]4.NERACA'!F119</f>
        <v>0</v>
      </c>
      <c r="J1361" s="890"/>
      <c r="K1361" s="891"/>
      <c r="L1361" s="889">
        <f>'[1]4.NERACA'!G119</f>
        <v>0</v>
      </c>
      <c r="M1361" s="890"/>
      <c r="N1361" s="891"/>
      <c r="O1361" s="889">
        <f>'[1]4.NERACA'!H119</f>
        <v>0</v>
      </c>
      <c r="P1361" s="890"/>
      <c r="Q1361" s="891"/>
      <c r="R1361" s="889">
        <f>B1361+F1361-I1361+L1361-O1361</f>
        <v>0</v>
      </c>
      <c r="S1361" s="890"/>
      <c r="T1361" s="890"/>
      <c r="U1361" s="891"/>
      <c r="V1361" s="808"/>
      <c r="W1361" s="805"/>
      <c r="X1361" s="805"/>
      <c r="Y1361" s="208">
        <v>0</v>
      </c>
      <c r="Z1361" s="805"/>
      <c r="AA1361" s="805"/>
      <c r="AB1361" s="805"/>
      <c r="AC1361" s="451">
        <f>R1361-B1361</f>
        <v>0</v>
      </c>
      <c r="AD1361" s="452"/>
      <c r="AE1361" s="452"/>
      <c r="AF1361" s="453"/>
    </row>
    <row r="1362" spans="1:32" s="20" customFormat="1" ht="27.75" customHeight="1">
      <c r="A1362" s="782"/>
      <c r="B1362" s="772" t="s">
        <v>436</v>
      </c>
      <c r="C1362" s="772"/>
      <c r="D1362" s="772"/>
      <c r="E1362" s="772"/>
      <c r="F1362" s="772"/>
      <c r="G1362" s="772"/>
      <c r="H1362" s="772"/>
      <c r="I1362" s="772"/>
      <c r="J1362" s="772"/>
      <c r="K1362" s="772"/>
      <c r="L1362" s="772"/>
      <c r="M1362" s="772"/>
      <c r="N1362" s="772"/>
      <c r="O1362" s="772"/>
      <c r="P1362" s="772"/>
      <c r="Q1362" s="772"/>
      <c r="R1362" s="772"/>
      <c r="S1362" s="772"/>
      <c r="T1362" s="772"/>
      <c r="U1362" s="772"/>
      <c r="V1362" s="27"/>
    </row>
    <row r="1363" spans="1:32" s="20" customFormat="1" ht="24" customHeight="1">
      <c r="A1363" s="782"/>
      <c r="B1363" s="442"/>
      <c r="C1363" s="428" t="s">
        <v>428</v>
      </c>
      <c r="D1363" s="428"/>
      <c r="E1363" s="428"/>
      <c r="F1363" s="428"/>
      <c r="G1363" s="428"/>
      <c r="H1363" s="428"/>
      <c r="I1363" s="428"/>
      <c r="J1363" s="428"/>
      <c r="K1363" s="428"/>
      <c r="L1363" s="428"/>
      <c r="M1363" s="428"/>
      <c r="N1363" s="428"/>
      <c r="O1363" s="428"/>
      <c r="P1363" s="428"/>
      <c r="Q1363" s="428"/>
      <c r="R1363" s="428"/>
      <c r="S1363" s="428"/>
      <c r="T1363" s="428"/>
      <c r="U1363" s="428"/>
      <c r="V1363" s="27"/>
    </row>
    <row r="1364" spans="1:32" s="20" customFormat="1" ht="16.5" customHeight="1">
      <c r="A1364" s="782"/>
      <c r="B1364" s="442"/>
      <c r="C1364" s="354" t="str">
        <f>"Mutasi Debet sebesar Rp. "&amp;FIXED(F1361+L1361)&amp;""</f>
        <v>Mutasi Debet sebesar Rp. 0.00</v>
      </c>
      <c r="D1364" s="354"/>
      <c r="E1364" s="354"/>
      <c r="F1364" s="354"/>
      <c r="G1364" s="354"/>
      <c r="H1364" s="354"/>
      <c r="I1364" s="354"/>
      <c r="J1364" s="354"/>
      <c r="K1364" s="354"/>
      <c r="L1364" s="354"/>
      <c r="M1364" s="354"/>
      <c r="N1364" s="354"/>
      <c r="O1364" s="354"/>
      <c r="P1364" s="354"/>
      <c r="Q1364" s="354"/>
      <c r="R1364" s="354"/>
      <c r="S1364" s="354"/>
      <c r="T1364" s="354"/>
      <c r="U1364" s="354"/>
      <c r="V1364" s="27"/>
    </row>
    <row r="1365" spans="1:32" s="20" customFormat="1" ht="16.5" customHeight="1">
      <c r="A1365" s="782"/>
      <c r="B1365" s="442"/>
      <c r="C1365" s="428" t="s">
        <v>430</v>
      </c>
      <c r="D1365" s="428"/>
      <c r="E1365" s="428"/>
      <c r="F1365" s="428"/>
      <c r="G1365" s="428"/>
      <c r="H1365" s="428"/>
      <c r="I1365" s="428"/>
      <c r="J1365" s="428"/>
      <c r="K1365" s="428"/>
      <c r="L1365" s="428"/>
      <c r="M1365" s="428"/>
      <c r="N1365" s="428"/>
      <c r="O1365" s="428"/>
      <c r="P1365" s="428"/>
      <c r="Q1365" s="428"/>
      <c r="R1365" s="428"/>
      <c r="S1365" s="428"/>
      <c r="T1365" s="428"/>
      <c r="U1365" s="428"/>
      <c r="V1365" s="27"/>
    </row>
    <row r="1366" spans="1:32" s="20" customFormat="1" ht="15" customHeight="1">
      <c r="A1366" s="782"/>
      <c r="B1366" s="784"/>
      <c r="C1366" s="354" t="str">
        <f>"Mutasi Kredit Rp. "&amp;FIXED(I1361+O1361)&amp;""</f>
        <v>Mutasi Kredit Rp. 0.00</v>
      </c>
      <c r="D1366" s="354"/>
      <c r="E1366" s="354"/>
      <c r="F1366" s="354"/>
      <c r="G1366" s="354"/>
      <c r="H1366" s="354"/>
      <c r="I1366" s="354"/>
      <c r="J1366" s="354"/>
      <c r="K1366" s="354"/>
      <c r="L1366" s="354"/>
      <c r="M1366" s="354"/>
      <c r="N1366" s="354"/>
      <c r="O1366" s="354"/>
      <c r="P1366" s="354"/>
      <c r="Q1366" s="354"/>
      <c r="R1366" s="354"/>
      <c r="S1366" s="354"/>
      <c r="T1366" s="354"/>
      <c r="U1366" s="354"/>
      <c r="V1366" s="27"/>
    </row>
    <row r="1367" spans="1:32" s="20" customFormat="1" ht="13.5" customHeight="1">
      <c r="A1367" s="14"/>
      <c r="B1367" s="385"/>
      <c r="C1367" s="385"/>
      <c r="D1367" s="385"/>
      <c r="E1367" s="385"/>
      <c r="F1367" s="385"/>
      <c r="G1367" s="385"/>
      <c r="H1367" s="385"/>
      <c r="I1367" s="385"/>
      <c r="J1367" s="385"/>
      <c r="K1367" s="385"/>
      <c r="L1367" s="385"/>
      <c r="M1367" s="385"/>
      <c r="N1367" s="483"/>
      <c r="O1367" s="483"/>
      <c r="P1367" s="483"/>
      <c r="Q1367" s="483"/>
      <c r="R1367" s="483"/>
      <c r="S1367" s="483"/>
      <c r="T1367" s="483"/>
      <c r="U1367" s="483"/>
      <c r="V1367" s="27"/>
    </row>
    <row r="1368" spans="1:32" s="20" customFormat="1" ht="18" customHeight="1">
      <c r="A1368" s="14"/>
      <c r="B1368" s="774" t="s">
        <v>444</v>
      </c>
      <c r="C1368" s="775" t="str">
        <f>'[1]4.NERACA'!C121</f>
        <v>Instalasi Air Minum Bersih</v>
      </c>
      <c r="D1368" s="775"/>
      <c r="E1368" s="775"/>
      <c r="F1368" s="775"/>
      <c r="G1368" s="775"/>
      <c r="H1368" s="775"/>
      <c r="I1368" s="775"/>
      <c r="J1368" s="775"/>
      <c r="K1368" s="775"/>
      <c r="L1368" s="775"/>
      <c r="M1368" s="775"/>
      <c r="N1368" s="775"/>
      <c r="O1368" s="775"/>
      <c r="P1368" s="775"/>
      <c r="Q1368" s="775"/>
      <c r="R1368" s="775"/>
      <c r="S1368" s="775"/>
      <c r="T1368" s="775"/>
      <c r="U1368" s="775"/>
      <c r="V1368" s="27"/>
    </row>
    <row r="1369" spans="1:32" s="20" customFormat="1" ht="63.75" customHeight="1">
      <c r="A1369" s="14"/>
      <c r="C1369" s="313" t="str">
        <f>"Nilai aset tetap berupa "&amp;C1368&amp;"  per "&amp;'[1]2.ISIAN DATA SKPD'!D8&amp;" dan  "&amp;'[1]2.ISIAN DATA SKPD'!D12&amp;" adalah sebesar Rp. "&amp;FIXED(R1374)&amp;" dan Rp. "&amp;FIXED(B1374)&amp;" mengalami kenaikansebesar Rp. "&amp;FIXED(AC1374)&amp;" atau sebesar "&amp;FIXED(Y1374)&amp;"% dari tahun "&amp;'[1]2.ISIAN DATA SKPD'!D12&amp;"."</f>
        <v>Nilai aset tetap berupa Instalasi Air Minum Bersih  per 31 Desember 2017 dan  2016 adalah sebesar Rp. 4,146,184,200.00 dan Rp. 0.00 mengalami kenaikansebesar Rp. 4,146,184,200.00 atau sebesar 0.00% dari tahun 2016.</v>
      </c>
      <c r="D1369" s="313"/>
      <c r="E1369" s="313"/>
      <c r="F1369" s="313"/>
      <c r="G1369" s="313"/>
      <c r="H1369" s="313"/>
      <c r="I1369" s="313"/>
      <c r="J1369" s="313"/>
      <c r="K1369" s="313"/>
      <c r="L1369" s="313"/>
      <c r="M1369" s="313"/>
      <c r="N1369" s="313"/>
      <c r="O1369" s="313"/>
      <c r="P1369" s="313"/>
      <c r="Q1369" s="313"/>
      <c r="R1369" s="313"/>
      <c r="S1369" s="313"/>
      <c r="T1369" s="313"/>
      <c r="U1369" s="313"/>
      <c r="V1369" s="27"/>
    </row>
    <row r="1370" spans="1:32" s="20" customFormat="1" ht="15" customHeight="1">
      <c r="A1370" s="14"/>
      <c r="C1370" s="313" t="str">
        <f>"Dengan mutasi  selama tahun "&amp;'[1]2.ISIAN DATA SKPD'!D11&amp;" sebagai berikut :"</f>
        <v>Dengan mutasi  selama tahun 2017 sebagai berikut :</v>
      </c>
      <c r="D1370" s="313"/>
      <c r="E1370" s="313"/>
      <c r="F1370" s="313"/>
      <c r="G1370" s="313"/>
      <c r="H1370" s="313"/>
      <c r="I1370" s="313"/>
      <c r="J1370" s="313"/>
      <c r="K1370" s="313"/>
      <c r="L1370" s="313"/>
      <c r="M1370" s="313"/>
      <c r="N1370" s="313"/>
      <c r="O1370" s="313"/>
      <c r="P1370" s="313"/>
      <c r="Q1370" s="313"/>
      <c r="R1370" s="313"/>
      <c r="S1370" s="313"/>
      <c r="T1370" s="313"/>
      <c r="U1370" s="313"/>
      <c r="V1370" s="27"/>
    </row>
    <row r="1371" spans="1:32" s="20" customFormat="1" ht="14.25" customHeight="1">
      <c r="A1371" s="14"/>
      <c r="C1371" s="882"/>
      <c r="D1371" s="882"/>
      <c r="E1371" s="882"/>
      <c r="F1371" s="882"/>
      <c r="G1371" s="882"/>
      <c r="H1371" s="882"/>
      <c r="I1371" s="882"/>
      <c r="J1371" s="882"/>
      <c r="K1371" s="882"/>
      <c r="L1371" s="882"/>
      <c r="M1371" s="882"/>
      <c r="N1371" s="882"/>
      <c r="O1371" s="882"/>
      <c r="P1371" s="882"/>
      <c r="Q1371" s="882"/>
      <c r="R1371" s="882"/>
      <c r="S1371" s="882"/>
      <c r="T1371" s="882"/>
      <c r="U1371" s="882"/>
      <c r="V1371" s="27"/>
    </row>
    <row r="1372" spans="1:32" s="20" customFormat="1" ht="26.25" customHeight="1">
      <c r="A1372" s="726" t="s">
        <v>84</v>
      </c>
      <c r="B1372" s="727" t="s">
        <v>411</v>
      </c>
      <c r="C1372" s="728"/>
      <c r="D1372" s="728"/>
      <c r="E1372" s="729"/>
      <c r="F1372" s="730" t="s">
        <v>412</v>
      </c>
      <c r="G1372" s="730"/>
      <c r="H1372" s="730"/>
      <c r="I1372" s="730"/>
      <c r="J1372" s="730"/>
      <c r="K1372" s="730"/>
      <c r="L1372" s="730" t="s">
        <v>413</v>
      </c>
      <c r="M1372" s="730"/>
      <c r="N1372" s="730"/>
      <c r="O1372" s="730"/>
      <c r="P1372" s="730"/>
      <c r="Q1372" s="730"/>
      <c r="R1372" s="731" t="s">
        <v>414</v>
      </c>
      <c r="S1372" s="731"/>
      <c r="T1372" s="731"/>
      <c r="U1372" s="731"/>
      <c r="V1372" s="27"/>
    </row>
    <row r="1373" spans="1:32" s="20" customFormat="1" ht="13.5" customHeight="1">
      <c r="A1373" s="732"/>
      <c r="B1373" s="733">
        <f>B1360</f>
        <v>2017</v>
      </c>
      <c r="C1373" s="734"/>
      <c r="D1373" s="734"/>
      <c r="E1373" s="735"/>
      <c r="F1373" s="731" t="s">
        <v>415</v>
      </c>
      <c r="G1373" s="731"/>
      <c r="H1373" s="731"/>
      <c r="I1373" s="731" t="s">
        <v>416</v>
      </c>
      <c r="J1373" s="731"/>
      <c r="K1373" s="731"/>
      <c r="L1373" s="731" t="s">
        <v>415</v>
      </c>
      <c r="M1373" s="731"/>
      <c r="N1373" s="731"/>
      <c r="O1373" s="736" t="s">
        <v>416</v>
      </c>
      <c r="P1373" s="736"/>
      <c r="Q1373" s="736"/>
      <c r="R1373" s="776">
        <f>R1360</f>
        <v>2017</v>
      </c>
      <c r="S1373" s="791"/>
      <c r="T1373" s="791"/>
      <c r="U1373" s="792"/>
      <c r="V1373" s="804"/>
      <c r="W1373" s="805"/>
      <c r="X1373" s="805"/>
      <c r="Y1373" s="208" t="s">
        <v>417</v>
      </c>
      <c r="Z1373" s="805"/>
      <c r="AA1373" s="805"/>
      <c r="AB1373" s="805"/>
      <c r="AC1373" s="712" t="s">
        <v>404</v>
      </c>
      <c r="AD1373" s="713"/>
      <c r="AE1373" s="713"/>
      <c r="AF1373" s="806"/>
    </row>
    <row r="1374" spans="1:32" s="20" customFormat="1" ht="30" customHeight="1">
      <c r="A1374" s="771" t="str">
        <f>C1368</f>
        <v>Instalasi Air Minum Bersih</v>
      </c>
      <c r="B1374" s="757">
        <v>0</v>
      </c>
      <c r="C1374" s="758"/>
      <c r="D1374" s="758"/>
      <c r="E1374" s="759"/>
      <c r="F1374" s="848">
        <f>'[1]4.NERACA'!E121</f>
        <v>3161695200</v>
      </c>
      <c r="G1374" s="849"/>
      <c r="H1374" s="850"/>
      <c r="I1374" s="848">
        <f>'[1]4.NERACA'!F121</f>
        <v>0</v>
      </c>
      <c r="J1374" s="849"/>
      <c r="K1374" s="850"/>
      <c r="L1374" s="848">
        <f>'[1]4.NERACA'!G121</f>
        <v>984489000</v>
      </c>
      <c r="M1374" s="849"/>
      <c r="N1374" s="850"/>
      <c r="O1374" s="848">
        <f>'[1]4.NERACA'!H120</f>
        <v>0</v>
      </c>
      <c r="P1374" s="849"/>
      <c r="Q1374" s="850"/>
      <c r="R1374" s="848">
        <f>B1374+F1374-I1374+L1374-O1374</f>
        <v>4146184200</v>
      </c>
      <c r="S1374" s="849"/>
      <c r="T1374" s="849"/>
      <c r="U1374" s="850"/>
      <c r="V1374" s="808"/>
      <c r="W1374" s="805"/>
      <c r="X1374" s="805"/>
      <c r="Y1374" s="892">
        <v>0</v>
      </c>
      <c r="Z1374" s="805"/>
      <c r="AA1374" s="805"/>
      <c r="AB1374" s="805"/>
      <c r="AC1374" s="451">
        <f>R1374-B1374</f>
        <v>4146184200</v>
      </c>
      <c r="AD1374" s="452"/>
      <c r="AE1374" s="452"/>
      <c r="AF1374" s="453"/>
    </row>
    <row r="1375" spans="1:32" s="20" customFormat="1" ht="21.75" customHeight="1">
      <c r="A1375" s="782"/>
      <c r="B1375" s="772" t="s">
        <v>436</v>
      </c>
      <c r="C1375" s="772"/>
      <c r="D1375" s="772"/>
      <c r="E1375" s="772"/>
      <c r="F1375" s="772"/>
      <c r="G1375" s="772"/>
      <c r="H1375" s="772"/>
      <c r="I1375" s="772"/>
      <c r="J1375" s="772"/>
      <c r="K1375" s="772"/>
      <c r="L1375" s="772"/>
      <c r="M1375" s="772"/>
      <c r="N1375" s="772"/>
      <c r="O1375" s="772"/>
      <c r="P1375" s="772"/>
      <c r="Q1375" s="772"/>
      <c r="R1375" s="772"/>
      <c r="S1375" s="772"/>
      <c r="T1375" s="772"/>
      <c r="U1375" s="772"/>
      <c r="V1375" s="27"/>
    </row>
    <row r="1376" spans="1:32" s="20" customFormat="1" ht="15" customHeight="1">
      <c r="A1376" s="782"/>
      <c r="B1376" s="442"/>
      <c r="C1376" s="428" t="s">
        <v>428</v>
      </c>
      <c r="D1376" s="428"/>
      <c r="E1376" s="428"/>
      <c r="F1376" s="428"/>
      <c r="G1376" s="428"/>
      <c r="H1376" s="428"/>
      <c r="I1376" s="428"/>
      <c r="J1376" s="428"/>
      <c r="K1376" s="428"/>
      <c r="L1376" s="428"/>
      <c r="M1376" s="428"/>
      <c r="N1376" s="428"/>
      <c r="O1376" s="428"/>
      <c r="P1376" s="428"/>
      <c r="Q1376" s="428"/>
      <c r="R1376" s="428"/>
      <c r="S1376" s="428"/>
      <c r="T1376" s="428"/>
      <c r="U1376" s="428"/>
      <c r="V1376" s="27"/>
    </row>
    <row r="1377" spans="1:32" s="20" customFormat="1" ht="77.25" customHeight="1">
      <c r="A1377" s="782"/>
      <c r="B1377" s="442"/>
      <c r="C1377" s="354" t="str">
        <f>"Mutasi Debet sebesar Rp. "&amp;FIXED(F1374+L1374)&amp;" adalah hasil reklas pengadaan barang tahun "&amp;'[1]2.ISIAN DATA SKPD'!D11&amp;" dari belanja modal berupa  pengadaan bangunan pembawa air Bersih ke Instalasi air minum bersih senilai Rp 3.161.695.200,00 dan pengadaan air sumber / mata air senilai Rp 984.489.000,00"</f>
        <v>Mutasi Debet sebesar Rp. 4,146,184,200.00 adalah hasil reklas pengadaan barang tahun 2017 dari belanja modal berupa  pengadaan bangunan pembawa air Bersih ke Instalasi air minum bersih senilai Rp 3.161.695.200,00 dan pengadaan air sumber / mata air senilai Rp 984.489.000,00</v>
      </c>
      <c r="D1377" s="354"/>
      <c r="E1377" s="354"/>
      <c r="F1377" s="354"/>
      <c r="G1377" s="354"/>
      <c r="H1377" s="354"/>
      <c r="I1377" s="354"/>
      <c r="J1377" s="354"/>
      <c r="K1377" s="354"/>
      <c r="L1377" s="354"/>
      <c r="M1377" s="354"/>
      <c r="N1377" s="354"/>
      <c r="O1377" s="354"/>
      <c r="P1377" s="354"/>
      <c r="Q1377" s="354"/>
      <c r="R1377" s="354"/>
      <c r="S1377" s="354"/>
      <c r="T1377" s="354"/>
      <c r="U1377" s="354"/>
      <c r="V1377" s="27"/>
    </row>
    <row r="1378" spans="1:32" s="20" customFormat="1" ht="17.25" customHeight="1">
      <c r="A1378" s="782"/>
      <c r="B1378" s="442"/>
      <c r="C1378" s="428" t="s">
        <v>430</v>
      </c>
      <c r="D1378" s="428"/>
      <c r="E1378" s="428"/>
      <c r="F1378" s="428"/>
      <c r="G1378" s="428"/>
      <c r="H1378" s="428"/>
      <c r="I1378" s="428"/>
      <c r="J1378" s="428"/>
      <c r="K1378" s="428"/>
      <c r="L1378" s="428"/>
      <c r="M1378" s="428"/>
      <c r="N1378" s="428"/>
      <c r="O1378" s="428"/>
      <c r="P1378" s="428"/>
      <c r="Q1378" s="428"/>
      <c r="R1378" s="428"/>
      <c r="S1378" s="428"/>
      <c r="T1378" s="428"/>
      <c r="U1378" s="428"/>
      <c r="V1378" s="27"/>
    </row>
    <row r="1379" spans="1:32" s="20" customFormat="1" ht="15" customHeight="1">
      <c r="A1379" s="782"/>
      <c r="B1379" s="784"/>
      <c r="C1379" s="354" t="str">
        <f>"Mutasi Kredit Rp. "&amp;FIXED(I1374+O1374)&amp;" "</f>
        <v xml:space="preserve">Mutasi Kredit Rp. 0.00 </v>
      </c>
      <c r="D1379" s="354"/>
      <c r="E1379" s="354"/>
      <c r="F1379" s="354"/>
      <c r="G1379" s="354"/>
      <c r="H1379" s="354"/>
      <c r="I1379" s="354"/>
      <c r="J1379" s="354"/>
      <c r="K1379" s="354"/>
      <c r="L1379" s="354"/>
      <c r="M1379" s="354"/>
      <c r="N1379" s="354"/>
      <c r="O1379" s="354"/>
      <c r="P1379" s="354"/>
      <c r="Q1379" s="354"/>
      <c r="R1379" s="354"/>
      <c r="S1379" s="354"/>
      <c r="T1379" s="354"/>
      <c r="U1379" s="354"/>
      <c r="V1379" s="27"/>
    </row>
    <row r="1380" spans="1:32" s="20" customFormat="1" ht="19.5" customHeight="1">
      <c r="A1380" s="14"/>
      <c r="B1380" s="385"/>
      <c r="C1380" s="385"/>
      <c r="D1380" s="385"/>
      <c r="E1380" s="385"/>
      <c r="F1380" s="385"/>
      <c r="G1380" s="385"/>
      <c r="H1380" s="385"/>
      <c r="I1380" s="385"/>
      <c r="J1380" s="385"/>
      <c r="K1380" s="385"/>
      <c r="L1380" s="385"/>
      <c r="M1380" s="385"/>
      <c r="N1380" s="483"/>
      <c r="O1380" s="483"/>
      <c r="P1380" s="483"/>
      <c r="Q1380" s="483"/>
      <c r="R1380" s="483"/>
      <c r="S1380" s="483"/>
      <c r="T1380" s="483"/>
      <c r="U1380" s="483"/>
      <c r="V1380" s="27"/>
    </row>
    <row r="1381" spans="1:32" s="20" customFormat="1" ht="17.25" customHeight="1">
      <c r="A1381" s="14"/>
      <c r="B1381" s="774" t="s">
        <v>446</v>
      </c>
      <c r="C1381" s="775" t="str">
        <f>'[1]4.NERACA'!C122</f>
        <v>Instalasi Air Kotor</v>
      </c>
      <c r="D1381" s="775"/>
      <c r="E1381" s="775"/>
      <c r="F1381" s="775"/>
      <c r="G1381" s="775"/>
      <c r="H1381" s="775"/>
      <c r="I1381" s="775"/>
      <c r="J1381" s="775"/>
      <c r="K1381" s="775"/>
      <c r="L1381" s="775"/>
      <c r="M1381" s="775"/>
      <c r="N1381" s="775"/>
      <c r="O1381" s="775"/>
      <c r="P1381" s="775"/>
      <c r="Q1381" s="775"/>
      <c r="R1381" s="775"/>
      <c r="S1381" s="775"/>
      <c r="T1381" s="775"/>
      <c r="U1381" s="775"/>
      <c r="V1381" s="27"/>
    </row>
    <row r="1382" spans="1:32" s="20" customFormat="1" ht="74.25" customHeight="1">
      <c r="A1382" s="14"/>
      <c r="C1382" s="313" t="str">
        <f>"Nilai aset tetap berupa "&amp;C1381&amp;"  per "&amp;'[1]2.ISIAN DATA SKPD'!D8&amp;" dan  "&amp;'[1]2.ISIAN DATA SKPD'!D12&amp;" adalah sebesar Rp. "&amp;FIXED(R1387)&amp;" dan Rp. "&amp;FIXED(B1387)&amp;" mengalami kenaikan sebesar Rp. "&amp;FIXED('[1]4.NERACA'!K122)&amp;" atau sebesar "&amp;FIXED('[1]4.NERACA'!J122)&amp;" % dari tahun "&amp;'[1]2.ISIAN DATA SKPD'!D12&amp;"."</f>
        <v>Nilai aset tetap berupa Instalasi Air Kotor  per 31 Desember 2017 dan  2016 adalah sebesar Rp. 4,929,096,725.00 dan Rp. 0.00 mengalami kenaikan sebesar Rp. 4,929,096,725.00 atau sebesar 100.00 % dari tahun 2016.</v>
      </c>
      <c r="D1382" s="313"/>
      <c r="E1382" s="313"/>
      <c r="F1382" s="313"/>
      <c r="G1382" s="313"/>
      <c r="H1382" s="313"/>
      <c r="I1382" s="313"/>
      <c r="J1382" s="313"/>
      <c r="K1382" s="313"/>
      <c r="L1382" s="313"/>
      <c r="M1382" s="313"/>
      <c r="N1382" s="313"/>
      <c r="O1382" s="313"/>
      <c r="P1382" s="313"/>
      <c r="Q1382" s="313"/>
      <c r="R1382" s="313"/>
      <c r="S1382" s="313"/>
      <c r="T1382" s="313"/>
      <c r="U1382" s="313"/>
      <c r="V1382" s="27"/>
    </row>
    <row r="1383" spans="1:32" s="20" customFormat="1" ht="20.25" customHeight="1">
      <c r="A1383" s="14"/>
      <c r="B1383" s="567"/>
      <c r="C1383" s="313" t="str">
        <f>"Dengan mutasi  selama tahun "&amp;'[1]2.ISIAN DATA SKPD'!D11&amp;" sebagai berikut :"</f>
        <v>Dengan mutasi  selama tahun 2017 sebagai berikut :</v>
      </c>
      <c r="D1383" s="313"/>
      <c r="E1383" s="313"/>
      <c r="F1383" s="313"/>
      <c r="G1383" s="313"/>
      <c r="H1383" s="313"/>
      <c r="I1383" s="313"/>
      <c r="J1383" s="313"/>
      <c r="K1383" s="313"/>
      <c r="L1383" s="313"/>
      <c r="M1383" s="313"/>
      <c r="N1383" s="313"/>
      <c r="O1383" s="313"/>
      <c r="P1383" s="313"/>
      <c r="Q1383" s="313"/>
      <c r="R1383" s="313"/>
      <c r="S1383" s="313"/>
      <c r="T1383" s="313"/>
      <c r="U1383" s="313"/>
      <c r="V1383" s="27"/>
    </row>
    <row r="1384" spans="1:32" s="20" customFormat="1" ht="4.5" customHeight="1">
      <c r="A1384" s="14"/>
      <c r="B1384" s="593"/>
      <c r="C1384" s="882"/>
      <c r="D1384" s="882"/>
      <c r="E1384" s="882"/>
      <c r="F1384" s="882"/>
      <c r="G1384" s="882"/>
      <c r="H1384" s="882"/>
      <c r="I1384" s="882"/>
      <c r="J1384" s="882"/>
      <c r="K1384" s="882"/>
      <c r="L1384" s="882"/>
      <c r="M1384" s="882"/>
      <c r="N1384" s="882"/>
      <c r="O1384" s="882"/>
      <c r="P1384" s="882"/>
      <c r="Q1384" s="882"/>
      <c r="R1384" s="882"/>
      <c r="S1384" s="882"/>
      <c r="T1384" s="882"/>
      <c r="U1384" s="882"/>
      <c r="V1384" s="27"/>
    </row>
    <row r="1385" spans="1:32" s="20" customFormat="1" ht="27" customHeight="1">
      <c r="A1385" s="726" t="s">
        <v>84</v>
      </c>
      <c r="B1385" s="727" t="s">
        <v>411</v>
      </c>
      <c r="C1385" s="728"/>
      <c r="D1385" s="728"/>
      <c r="E1385" s="729"/>
      <c r="F1385" s="730" t="s">
        <v>412</v>
      </c>
      <c r="G1385" s="730"/>
      <c r="H1385" s="730"/>
      <c r="I1385" s="730"/>
      <c r="J1385" s="730"/>
      <c r="K1385" s="730"/>
      <c r="L1385" s="730" t="s">
        <v>413</v>
      </c>
      <c r="M1385" s="730"/>
      <c r="N1385" s="730"/>
      <c r="O1385" s="730"/>
      <c r="P1385" s="730"/>
      <c r="Q1385" s="730"/>
      <c r="R1385" s="731" t="s">
        <v>414</v>
      </c>
      <c r="S1385" s="731"/>
      <c r="T1385" s="731"/>
      <c r="U1385" s="731"/>
      <c r="V1385" s="27"/>
    </row>
    <row r="1386" spans="1:32" s="20" customFormat="1" ht="26.25" customHeight="1">
      <c r="A1386" s="732"/>
      <c r="B1386" s="776">
        <f>B1373</f>
        <v>2017</v>
      </c>
      <c r="C1386" s="777"/>
      <c r="D1386" s="777"/>
      <c r="E1386" s="778"/>
      <c r="F1386" s="731" t="s">
        <v>415</v>
      </c>
      <c r="G1386" s="731"/>
      <c r="H1386" s="731"/>
      <c r="I1386" s="731" t="s">
        <v>416</v>
      </c>
      <c r="J1386" s="731"/>
      <c r="K1386" s="731"/>
      <c r="L1386" s="731" t="s">
        <v>415</v>
      </c>
      <c r="M1386" s="731"/>
      <c r="N1386" s="731"/>
      <c r="O1386" s="736" t="s">
        <v>416</v>
      </c>
      <c r="P1386" s="736"/>
      <c r="Q1386" s="736"/>
      <c r="R1386" s="776">
        <f>R1373</f>
        <v>2017</v>
      </c>
      <c r="S1386" s="791"/>
      <c r="T1386" s="791"/>
      <c r="U1386" s="792"/>
      <c r="V1386" s="804"/>
      <c r="W1386" s="805"/>
      <c r="X1386" s="805"/>
      <c r="Y1386" s="208" t="s">
        <v>417</v>
      </c>
      <c r="Z1386" s="805"/>
      <c r="AA1386" s="805"/>
      <c r="AB1386" s="805"/>
      <c r="AC1386" s="712" t="s">
        <v>404</v>
      </c>
      <c r="AD1386" s="713"/>
      <c r="AE1386" s="713"/>
      <c r="AF1386" s="806"/>
    </row>
    <row r="1387" spans="1:32" s="20" customFormat="1" ht="24.75" customHeight="1">
      <c r="A1387" s="771" t="str">
        <f>C1381</f>
        <v>Instalasi Air Kotor</v>
      </c>
      <c r="B1387" s="893">
        <f>'[1]4.NERACA'!D122</f>
        <v>0</v>
      </c>
      <c r="C1387" s="894"/>
      <c r="D1387" s="894"/>
      <c r="E1387" s="895"/>
      <c r="F1387" s="893">
        <f>'[1]4.NERACA'!E122</f>
        <v>0</v>
      </c>
      <c r="G1387" s="894"/>
      <c r="H1387" s="895"/>
      <c r="I1387" s="886">
        <f>'[1]4.NERACA'!F122</f>
        <v>2110000</v>
      </c>
      <c r="J1387" s="887"/>
      <c r="K1387" s="888"/>
      <c r="L1387" s="886">
        <f>'[1]4.NERACA'!G122</f>
        <v>4931206725</v>
      </c>
      <c r="M1387" s="887"/>
      <c r="N1387" s="888"/>
      <c r="O1387" s="837">
        <f>'[1]4.NERACA'!H121</f>
        <v>0</v>
      </c>
      <c r="P1387" s="838"/>
      <c r="Q1387" s="839"/>
      <c r="R1387" s="837">
        <f>B1387+F1387-I1387+L1387-O1387</f>
        <v>4929096725</v>
      </c>
      <c r="S1387" s="838"/>
      <c r="T1387" s="838"/>
      <c r="U1387" s="839"/>
      <c r="V1387" s="808"/>
      <c r="W1387" s="805"/>
      <c r="X1387" s="805"/>
      <c r="Y1387" s="208">
        <v>0</v>
      </c>
      <c r="Z1387" s="805"/>
      <c r="AA1387" s="805"/>
      <c r="AB1387" s="805"/>
      <c r="AC1387" s="451">
        <f>R1387-B1387</f>
        <v>4929096725</v>
      </c>
      <c r="AD1387" s="452"/>
      <c r="AE1387" s="452"/>
      <c r="AF1387" s="453"/>
    </row>
    <row r="1388" spans="1:32" s="20" customFormat="1" ht="21.75" customHeight="1">
      <c r="A1388" s="782"/>
      <c r="B1388" s="772" t="s">
        <v>436</v>
      </c>
      <c r="C1388" s="772"/>
      <c r="D1388" s="772"/>
      <c r="E1388" s="772"/>
      <c r="F1388" s="772"/>
      <c r="G1388" s="772"/>
      <c r="H1388" s="772"/>
      <c r="I1388" s="772"/>
      <c r="J1388" s="772"/>
      <c r="K1388" s="772"/>
      <c r="L1388" s="772"/>
      <c r="M1388" s="772"/>
      <c r="N1388" s="772"/>
      <c r="O1388" s="772"/>
      <c r="P1388" s="772"/>
      <c r="Q1388" s="772"/>
      <c r="R1388" s="772"/>
      <c r="S1388" s="772"/>
      <c r="T1388" s="772"/>
      <c r="U1388" s="772"/>
      <c r="V1388" s="27"/>
    </row>
    <row r="1389" spans="1:32" s="20" customFormat="1" ht="24.75" customHeight="1">
      <c r="A1389" s="782"/>
      <c r="B1389" s="442"/>
      <c r="C1389" s="428" t="s">
        <v>428</v>
      </c>
      <c r="D1389" s="428"/>
      <c r="E1389" s="428"/>
      <c r="F1389" s="428"/>
      <c r="G1389" s="428"/>
      <c r="H1389" s="428"/>
      <c r="I1389" s="428"/>
      <c r="J1389" s="428"/>
      <c r="K1389" s="428"/>
      <c r="L1389" s="428"/>
      <c r="M1389" s="428"/>
      <c r="N1389" s="428"/>
      <c r="O1389" s="428"/>
      <c r="P1389" s="428"/>
      <c r="Q1389" s="428"/>
      <c r="R1389" s="428"/>
      <c r="S1389" s="428"/>
      <c r="T1389" s="428"/>
      <c r="U1389" s="428"/>
      <c r="V1389" s="27"/>
    </row>
    <row r="1390" spans="1:32" s="20" customFormat="1" ht="52.5" customHeight="1">
      <c r="A1390" s="782"/>
      <c r="B1390" s="442"/>
      <c r="C1390" s="354" t="str">
        <f>"Mutasi Debet sebesar Rp. "&amp;FIXED(F1387+L1387)&amp;" adalah hasil pengadaan barang tahun "&amp;'[1]2.ISIAN DATA SKPD'!D11&amp;" dari belanja modal berupa Pengadaan Instalasi air kotor."</f>
        <v>Mutasi Debet sebesar Rp. 4,931,206,725.00 adalah hasil pengadaan barang tahun 2017 dari belanja modal berupa Pengadaan Instalasi air kotor.</v>
      </c>
      <c r="D1390" s="354"/>
      <c r="E1390" s="354"/>
      <c r="F1390" s="354"/>
      <c r="G1390" s="354"/>
      <c r="H1390" s="354"/>
      <c r="I1390" s="354"/>
      <c r="J1390" s="354"/>
      <c r="K1390" s="354"/>
      <c r="L1390" s="354"/>
      <c r="M1390" s="354"/>
      <c r="N1390" s="354"/>
      <c r="O1390" s="354"/>
      <c r="P1390" s="354"/>
      <c r="Q1390" s="354"/>
      <c r="R1390" s="354"/>
      <c r="S1390" s="354"/>
      <c r="T1390" s="354"/>
      <c r="U1390" s="354"/>
      <c r="V1390" s="27"/>
    </row>
    <row r="1391" spans="1:32" s="20" customFormat="1" ht="15" customHeight="1">
      <c r="A1391" s="782"/>
      <c r="B1391" s="442"/>
      <c r="C1391" s="428" t="s">
        <v>430</v>
      </c>
      <c r="D1391" s="428"/>
      <c r="E1391" s="428"/>
      <c r="F1391" s="428"/>
      <c r="G1391" s="428"/>
      <c r="H1391" s="428"/>
      <c r="I1391" s="428"/>
      <c r="J1391" s="428"/>
      <c r="K1391" s="428"/>
      <c r="L1391" s="428"/>
      <c r="M1391" s="428"/>
      <c r="N1391" s="428"/>
      <c r="O1391" s="428"/>
      <c r="P1391" s="428"/>
      <c r="Q1391" s="428"/>
      <c r="R1391" s="428"/>
      <c r="S1391" s="428"/>
      <c r="T1391" s="428"/>
      <c r="U1391" s="428"/>
      <c r="V1391" s="27"/>
    </row>
    <row r="1392" spans="1:32" s="20" customFormat="1" ht="33" customHeight="1">
      <c r="A1392" s="782"/>
      <c r="B1392" s="784"/>
      <c r="C1392" s="354" t="str">
        <f>"Mutasi Kredit Rp. "&amp;FIXED(I1387+O1387)&amp;" adalah reklas ke komputer berupa Hardhdisk external senilai Rp.2.110.000,00"</f>
        <v>Mutasi Kredit Rp. 2,110,000.00 adalah reklas ke komputer berupa Hardhdisk external senilai Rp.2.110.000,00</v>
      </c>
      <c r="D1392" s="354"/>
      <c r="E1392" s="354"/>
      <c r="F1392" s="354"/>
      <c r="G1392" s="354"/>
      <c r="H1392" s="354"/>
      <c r="I1392" s="354"/>
      <c r="J1392" s="354"/>
      <c r="K1392" s="354"/>
      <c r="L1392" s="354"/>
      <c r="M1392" s="354"/>
      <c r="N1392" s="354"/>
      <c r="O1392" s="354"/>
      <c r="P1392" s="354"/>
      <c r="Q1392" s="354"/>
      <c r="R1392" s="354"/>
      <c r="S1392" s="354"/>
      <c r="T1392" s="354"/>
      <c r="U1392" s="354"/>
      <c r="V1392" s="27"/>
    </row>
    <row r="1393" spans="1:22" s="20" customFormat="1" ht="11.25" customHeight="1">
      <c r="A1393" s="14"/>
      <c r="B1393" s="385"/>
      <c r="C1393" s="385"/>
      <c r="D1393" s="385"/>
      <c r="E1393" s="385"/>
      <c r="F1393" s="385"/>
      <c r="G1393" s="385"/>
      <c r="H1393" s="385"/>
      <c r="I1393" s="385"/>
      <c r="J1393" s="385"/>
      <c r="K1393" s="385"/>
      <c r="L1393" s="385"/>
      <c r="M1393" s="385"/>
      <c r="N1393" s="483"/>
      <c r="O1393" s="483"/>
      <c r="P1393" s="483"/>
      <c r="Q1393" s="483"/>
      <c r="R1393" s="483"/>
      <c r="S1393" s="483"/>
      <c r="T1393" s="483"/>
      <c r="U1393" s="483"/>
      <c r="V1393" s="27"/>
    </row>
    <row r="1394" spans="1:22" s="20" customFormat="1" ht="33" customHeight="1">
      <c r="A1394" s="14"/>
      <c r="B1394" s="896" t="str">
        <f>"Rincian saldo Jalan, Jaringan dan Irigasi  per "&amp;'[1]2.ISIAN DATA SKPD'!D8&amp;" adalah sebagai berikut:"</f>
        <v>Rincian saldo Jalan, Jaringan dan Irigasi  per 31 Desember 2017 adalah sebagai berikut:</v>
      </c>
      <c r="C1394" s="896"/>
      <c r="D1394" s="896"/>
      <c r="E1394" s="896"/>
      <c r="F1394" s="896"/>
      <c r="G1394" s="896"/>
      <c r="H1394" s="896"/>
      <c r="I1394" s="896"/>
      <c r="J1394" s="896"/>
      <c r="K1394" s="896"/>
      <c r="L1394" s="896"/>
      <c r="M1394" s="896"/>
      <c r="N1394" s="896"/>
      <c r="O1394" s="896"/>
      <c r="P1394" s="896"/>
      <c r="Q1394" s="896"/>
      <c r="R1394" s="896"/>
      <c r="S1394" s="896"/>
      <c r="T1394" s="896"/>
      <c r="U1394" s="896"/>
      <c r="V1394" s="27"/>
    </row>
    <row r="1395" spans="1:22" s="20" customFormat="1" ht="29.25" customHeight="1">
      <c r="A1395" s="14"/>
      <c r="B1395" s="315" t="s">
        <v>147</v>
      </c>
      <c r="C1395" s="317"/>
      <c r="D1395" s="315" t="s">
        <v>293</v>
      </c>
      <c r="E1395" s="316"/>
      <c r="F1395" s="316"/>
      <c r="G1395" s="316"/>
      <c r="H1395" s="316"/>
      <c r="I1395" s="316"/>
      <c r="J1395" s="316"/>
      <c r="K1395" s="316"/>
      <c r="L1395" s="316"/>
      <c r="M1395" s="316"/>
      <c r="N1395" s="316"/>
      <c r="O1395" s="316"/>
      <c r="P1395" s="317"/>
      <c r="Q1395" s="315" t="s">
        <v>424</v>
      </c>
      <c r="R1395" s="316"/>
      <c r="S1395" s="316"/>
      <c r="T1395" s="316"/>
      <c r="U1395" s="317"/>
      <c r="V1395" s="27"/>
    </row>
    <row r="1396" spans="1:22" s="20" customFormat="1" ht="19.5" customHeight="1">
      <c r="A1396" s="14"/>
      <c r="B1396" s="315">
        <v>1</v>
      </c>
      <c r="C1396" s="317"/>
      <c r="D1396" s="473" t="str">
        <f>'[1]4.NERACA'!C113</f>
        <v>Jalan</v>
      </c>
      <c r="E1396" s="474"/>
      <c r="F1396" s="474"/>
      <c r="G1396" s="474"/>
      <c r="H1396" s="474"/>
      <c r="I1396" s="474"/>
      <c r="J1396" s="474"/>
      <c r="K1396" s="474"/>
      <c r="L1396" s="474"/>
      <c r="M1396" s="474"/>
      <c r="N1396" s="474"/>
      <c r="O1396" s="474"/>
      <c r="P1396" s="475"/>
      <c r="Q1396" s="757">
        <f>'[1]4.NERACA'!I113</f>
        <v>1020788948201</v>
      </c>
      <c r="R1396" s="758"/>
      <c r="S1396" s="758"/>
      <c r="T1396" s="758"/>
      <c r="U1396" s="759"/>
      <c r="V1396" s="27"/>
    </row>
    <row r="1397" spans="1:22" s="20" customFormat="1" ht="15" customHeight="1">
      <c r="A1397" s="14"/>
      <c r="B1397" s="315">
        <v>2</v>
      </c>
      <c r="C1397" s="317"/>
      <c r="D1397" s="473" t="str">
        <f>'[1]4.NERACA'!C114</f>
        <v>Jembatan</v>
      </c>
      <c r="E1397" s="474"/>
      <c r="F1397" s="474"/>
      <c r="G1397" s="474"/>
      <c r="H1397" s="474"/>
      <c r="I1397" s="474"/>
      <c r="J1397" s="474"/>
      <c r="K1397" s="474"/>
      <c r="L1397" s="474"/>
      <c r="M1397" s="474"/>
      <c r="N1397" s="474"/>
      <c r="O1397" s="474"/>
      <c r="P1397" s="475"/>
      <c r="Q1397" s="897">
        <f>'[1]4.NERACA'!I114</f>
        <v>19556211768</v>
      </c>
      <c r="R1397" s="898"/>
      <c r="S1397" s="898"/>
      <c r="T1397" s="898"/>
      <c r="U1397" s="899"/>
      <c r="V1397" s="27"/>
    </row>
    <row r="1398" spans="1:22" s="20" customFormat="1" ht="21.75" customHeight="1">
      <c r="A1398" s="14"/>
      <c r="B1398" s="315">
        <v>3</v>
      </c>
      <c r="C1398" s="317"/>
      <c r="D1398" s="473" t="str">
        <f>'[1]4.NERACA'!C115</f>
        <v>Bangunan Air Irigasi</v>
      </c>
      <c r="E1398" s="474"/>
      <c r="F1398" s="474"/>
      <c r="G1398" s="474"/>
      <c r="H1398" s="474"/>
      <c r="I1398" s="474"/>
      <c r="J1398" s="474"/>
      <c r="K1398" s="474"/>
      <c r="L1398" s="474"/>
      <c r="M1398" s="474"/>
      <c r="N1398" s="474"/>
      <c r="O1398" s="474"/>
      <c r="P1398" s="475"/>
      <c r="Q1398" s="897">
        <f>'[1]4.NERACA'!I115</f>
        <v>480514867430</v>
      </c>
      <c r="R1398" s="898"/>
      <c r="S1398" s="898"/>
      <c r="T1398" s="898"/>
      <c r="U1398" s="899"/>
      <c r="V1398" s="27"/>
    </row>
    <row r="1399" spans="1:22" s="20" customFormat="1" ht="28.5" customHeight="1">
      <c r="A1399" s="14"/>
      <c r="B1399" s="315">
        <v>4</v>
      </c>
      <c r="C1399" s="317"/>
      <c r="D1399" s="473" t="str">
        <f>'[1]4.NERACA'!C116</f>
        <v>Bangunan Pengaman Sungai dan Penanggulangan Bencana Alam</v>
      </c>
      <c r="E1399" s="474"/>
      <c r="F1399" s="474"/>
      <c r="G1399" s="474"/>
      <c r="H1399" s="474"/>
      <c r="I1399" s="474"/>
      <c r="J1399" s="474"/>
      <c r="K1399" s="474"/>
      <c r="L1399" s="474"/>
      <c r="M1399" s="474"/>
      <c r="N1399" s="474"/>
      <c r="O1399" s="474"/>
      <c r="P1399" s="475"/>
      <c r="Q1399" s="897">
        <f>'[1]4.NERACA'!I116</f>
        <v>4461833000</v>
      </c>
      <c r="R1399" s="898"/>
      <c r="S1399" s="898"/>
      <c r="T1399" s="898"/>
      <c r="U1399" s="899"/>
      <c r="V1399" s="27"/>
    </row>
    <row r="1400" spans="1:22" s="20" customFormat="1" ht="32.25" customHeight="1">
      <c r="A1400" s="14"/>
      <c r="B1400" s="315">
        <v>5</v>
      </c>
      <c r="C1400" s="317"/>
      <c r="D1400" s="473" t="str">
        <f>'[1]4.NERACA'!C117</f>
        <v>Bangunan Pengembangan Sumber Air dan Air Tanah</v>
      </c>
      <c r="E1400" s="474"/>
      <c r="F1400" s="474"/>
      <c r="G1400" s="474"/>
      <c r="H1400" s="474"/>
      <c r="I1400" s="474"/>
      <c r="J1400" s="474"/>
      <c r="K1400" s="474"/>
      <c r="L1400" s="474"/>
      <c r="M1400" s="474"/>
      <c r="N1400" s="474"/>
      <c r="O1400" s="474"/>
      <c r="P1400" s="475"/>
      <c r="Q1400" s="897">
        <f>'[1]4.NERACA'!I117</f>
        <v>0</v>
      </c>
      <c r="R1400" s="898"/>
      <c r="S1400" s="898"/>
      <c r="T1400" s="898"/>
      <c r="U1400" s="899"/>
      <c r="V1400" s="27"/>
    </row>
    <row r="1401" spans="1:22" s="20" customFormat="1" ht="25.5" customHeight="1">
      <c r="A1401" s="14"/>
      <c r="B1401" s="315">
        <v>6</v>
      </c>
      <c r="C1401" s="317"/>
      <c r="D1401" s="473" t="str">
        <f>'[1]4.NERACA'!C118</f>
        <v>Bangunan Air Bersih/Baku</v>
      </c>
      <c r="E1401" s="474"/>
      <c r="F1401" s="474"/>
      <c r="G1401" s="474"/>
      <c r="H1401" s="474"/>
      <c r="I1401" s="474"/>
      <c r="J1401" s="474"/>
      <c r="K1401" s="474"/>
      <c r="L1401" s="474"/>
      <c r="M1401" s="474"/>
      <c r="N1401" s="474"/>
      <c r="O1401" s="474"/>
      <c r="P1401" s="475"/>
      <c r="Q1401" s="897">
        <f>'[1]4.NERACA'!I118</f>
        <v>13094849651</v>
      </c>
      <c r="R1401" s="898"/>
      <c r="S1401" s="898"/>
      <c r="T1401" s="898"/>
      <c r="U1401" s="899"/>
      <c r="V1401" s="27"/>
    </row>
    <row r="1402" spans="1:22" s="20" customFormat="1" ht="25.5" customHeight="1">
      <c r="A1402" s="14"/>
      <c r="B1402" s="315">
        <v>7</v>
      </c>
      <c r="C1402" s="317"/>
      <c r="D1402" s="473" t="str">
        <f>'[1]4.NERACA'!C119</f>
        <v>Bangunan Air Kotor</v>
      </c>
      <c r="E1402" s="474"/>
      <c r="F1402" s="474"/>
      <c r="G1402" s="474"/>
      <c r="H1402" s="474"/>
      <c r="I1402" s="474"/>
      <c r="J1402" s="474"/>
      <c r="K1402" s="474"/>
      <c r="L1402" s="474"/>
      <c r="M1402" s="474"/>
      <c r="N1402" s="474"/>
      <c r="O1402" s="474"/>
      <c r="P1402" s="475"/>
      <c r="Q1402" s="897">
        <f>'[1]4.NERACA'!I119</f>
        <v>12388471152</v>
      </c>
      <c r="R1402" s="898"/>
      <c r="S1402" s="898"/>
      <c r="T1402" s="898"/>
      <c r="U1402" s="899"/>
      <c r="V1402" s="27"/>
    </row>
    <row r="1403" spans="1:22" s="20" customFormat="1" ht="23.25" customHeight="1">
      <c r="A1403" s="14"/>
      <c r="B1403" s="315">
        <v>8</v>
      </c>
      <c r="C1403" s="317"/>
      <c r="D1403" s="473" t="str">
        <f>'[1]4.NERACA'!C120</f>
        <v>Bangunan Air</v>
      </c>
      <c r="E1403" s="474"/>
      <c r="F1403" s="474"/>
      <c r="G1403" s="474"/>
      <c r="H1403" s="474"/>
      <c r="I1403" s="474"/>
      <c r="J1403" s="474"/>
      <c r="K1403" s="474"/>
      <c r="L1403" s="474"/>
      <c r="M1403" s="474"/>
      <c r="N1403" s="474"/>
      <c r="O1403" s="474"/>
      <c r="P1403" s="475"/>
      <c r="Q1403" s="897">
        <f>'[1]4.NERACA'!I120</f>
        <v>0</v>
      </c>
      <c r="R1403" s="898"/>
      <c r="S1403" s="898"/>
      <c r="T1403" s="898"/>
      <c r="U1403" s="899"/>
      <c r="V1403" s="27"/>
    </row>
    <row r="1404" spans="1:22" s="20" customFormat="1" ht="21" customHeight="1">
      <c r="A1404" s="14"/>
      <c r="B1404" s="315">
        <v>9</v>
      </c>
      <c r="C1404" s="317"/>
      <c r="D1404" s="473" t="str">
        <f>'[1]4.NERACA'!C121</f>
        <v>Instalasi Air Minum Bersih</v>
      </c>
      <c r="E1404" s="474"/>
      <c r="F1404" s="474"/>
      <c r="G1404" s="474"/>
      <c r="H1404" s="474"/>
      <c r="I1404" s="474"/>
      <c r="J1404" s="474"/>
      <c r="K1404" s="474"/>
      <c r="L1404" s="474"/>
      <c r="M1404" s="474"/>
      <c r="N1404" s="474"/>
      <c r="O1404" s="474"/>
      <c r="P1404" s="475"/>
      <c r="Q1404" s="897">
        <f>'[1]4.NERACA'!I121</f>
        <v>4146184200</v>
      </c>
      <c r="R1404" s="898"/>
      <c r="S1404" s="898"/>
      <c r="T1404" s="898"/>
      <c r="U1404" s="899"/>
      <c r="V1404" s="27"/>
    </row>
    <row r="1405" spans="1:22" s="20" customFormat="1" ht="28.5" customHeight="1">
      <c r="A1405" s="14"/>
      <c r="B1405" s="315">
        <v>10</v>
      </c>
      <c r="C1405" s="317"/>
      <c r="D1405" s="473" t="str">
        <f>'[1]4.NERACA'!C122</f>
        <v>Instalasi Air Kotor</v>
      </c>
      <c r="E1405" s="474"/>
      <c r="F1405" s="474"/>
      <c r="G1405" s="474"/>
      <c r="H1405" s="474"/>
      <c r="I1405" s="474"/>
      <c r="J1405" s="474"/>
      <c r="K1405" s="474"/>
      <c r="L1405" s="474"/>
      <c r="M1405" s="474"/>
      <c r="N1405" s="474"/>
      <c r="O1405" s="474"/>
      <c r="P1405" s="475"/>
      <c r="Q1405" s="897">
        <f>'[1]4.NERACA'!I122</f>
        <v>4929096725</v>
      </c>
      <c r="R1405" s="898"/>
      <c r="S1405" s="898"/>
      <c r="T1405" s="898"/>
      <c r="U1405" s="899"/>
      <c r="V1405" s="27"/>
    </row>
    <row r="1406" spans="1:22" s="20" customFormat="1" ht="27" customHeight="1">
      <c r="A1406" s="14"/>
      <c r="B1406" s="657" t="s">
        <v>143</v>
      </c>
      <c r="C1406" s="658"/>
      <c r="D1406" s="658"/>
      <c r="E1406" s="658"/>
      <c r="F1406" s="658"/>
      <c r="G1406" s="658"/>
      <c r="H1406" s="658"/>
      <c r="I1406" s="658"/>
      <c r="J1406" s="658"/>
      <c r="K1406" s="658"/>
      <c r="L1406" s="658"/>
      <c r="M1406" s="658"/>
      <c r="N1406" s="658"/>
      <c r="O1406" s="658"/>
      <c r="P1406" s="659"/>
      <c r="Q1406" s="757">
        <f>SUM(Q1396:U1405)</f>
        <v>1559880462127</v>
      </c>
      <c r="R1406" s="758"/>
      <c r="S1406" s="758"/>
      <c r="T1406" s="758"/>
      <c r="U1406" s="759"/>
      <c r="V1406" s="27"/>
    </row>
    <row r="1407" spans="1:22" s="20" customFormat="1" ht="15" customHeight="1">
      <c r="A1407" s="14"/>
      <c r="B1407" s="385"/>
      <c r="C1407" s="385"/>
      <c r="D1407" s="385"/>
      <c r="E1407" s="385"/>
      <c r="F1407" s="385"/>
      <c r="G1407" s="385"/>
      <c r="H1407" s="385"/>
      <c r="I1407" s="385"/>
      <c r="J1407" s="385"/>
      <c r="K1407" s="385"/>
      <c r="L1407" s="385"/>
      <c r="M1407" s="385"/>
      <c r="N1407" s="483"/>
      <c r="O1407" s="483"/>
      <c r="P1407" s="483"/>
      <c r="Q1407" s="483"/>
      <c r="R1407" s="483"/>
      <c r="S1407" s="483"/>
      <c r="T1407" s="483"/>
      <c r="U1407" s="483"/>
      <c r="V1407" s="27"/>
    </row>
    <row r="1408" spans="1:22" s="20" customFormat="1" ht="27" customHeight="1">
      <c r="A1408" s="900"/>
      <c r="B1408" s="871" t="s">
        <v>265</v>
      </c>
      <c r="C1408" s="725" t="str">
        <f>'[1]4.NERACA'!C123</f>
        <v>Aset Tetap Lainnya</v>
      </c>
      <c r="D1408" s="725"/>
      <c r="E1408" s="725"/>
      <c r="F1408" s="725"/>
      <c r="G1408" s="725"/>
      <c r="H1408" s="725"/>
      <c r="I1408" s="725"/>
      <c r="J1408" s="725"/>
      <c r="K1408" s="725"/>
      <c r="L1408" s="725"/>
      <c r="M1408" s="725"/>
      <c r="N1408" s="725"/>
      <c r="O1408" s="725"/>
      <c r="P1408" s="725"/>
      <c r="Q1408" s="725"/>
      <c r="R1408" s="725"/>
      <c r="S1408" s="725"/>
      <c r="T1408" s="725"/>
      <c r="U1408" s="725"/>
      <c r="V1408" s="27"/>
    </row>
    <row r="1409" spans="1:32" s="20" customFormat="1" ht="64.5" customHeight="1">
      <c r="A1409" s="900"/>
      <c r="B1409" s="309" t="str">
        <f>"Saldo "&amp;C1408&amp;" per "&amp;'[1]2.ISIAN DATA SKPD'!D8&amp;" dan "&amp;'[1]2.ISIAN DATA SKPD'!D12&amp;" adalah masing-masing sebesar Rp. "&amp;R1414&amp;" dan Rp. "&amp;FIXED(B1414)&amp;" tidak mengalami kenaikan/penurunan sebesar Rp. "&amp;FIXED(Y1414)&amp;" atau sebesar "&amp;FIXED(Y1414)&amp;"% dari tahun "&amp;'[1]2.ISIAN DATA SKPD'!D12&amp;"."</f>
        <v>Saldo Aset Tetap Lainnya per 31 Desember 2017 dan 2016 adalah masing-masing sebesar Rp. 0 dan Rp. 0.00 tidak mengalami kenaikan/penurunan sebesar Rp. 0.00 atau sebesar 0.00% dari tahun 2016.</v>
      </c>
      <c r="C1409" s="309"/>
      <c r="D1409" s="309"/>
      <c r="E1409" s="309"/>
      <c r="F1409" s="309"/>
      <c r="G1409" s="309"/>
      <c r="H1409" s="309"/>
      <c r="I1409" s="309"/>
      <c r="J1409" s="309"/>
      <c r="K1409" s="309"/>
      <c r="L1409" s="309"/>
      <c r="M1409" s="309"/>
      <c r="N1409" s="309"/>
      <c r="O1409" s="309"/>
      <c r="P1409" s="309"/>
      <c r="Q1409" s="309"/>
      <c r="R1409" s="309"/>
      <c r="S1409" s="309"/>
      <c r="T1409" s="309"/>
      <c r="U1409" s="309"/>
      <c r="V1409" s="27"/>
    </row>
    <row r="1410" spans="1:32" s="20" customFormat="1" ht="33" customHeight="1">
      <c r="A1410" s="25"/>
      <c r="B1410" s="313" t="str">
        <f>"Mutasi transaksi terhadap "&amp;C1408&amp;" pada tanggal pelaporan adalah sebagai berikut:"</f>
        <v>Mutasi transaksi terhadap Aset Tetap Lainnya pada tanggal pelaporan adalah sebagai berikut:</v>
      </c>
      <c r="C1410" s="313"/>
      <c r="D1410" s="313"/>
      <c r="E1410" s="313"/>
      <c r="F1410" s="313"/>
      <c r="G1410" s="313"/>
      <c r="H1410" s="313"/>
      <c r="I1410" s="313"/>
      <c r="J1410" s="313"/>
      <c r="K1410" s="313"/>
      <c r="L1410" s="313"/>
      <c r="M1410" s="313"/>
      <c r="N1410" s="313"/>
      <c r="O1410" s="313"/>
      <c r="P1410" s="313"/>
      <c r="Q1410" s="313"/>
      <c r="R1410" s="313"/>
      <c r="S1410" s="313"/>
      <c r="T1410" s="313"/>
      <c r="U1410" s="313"/>
      <c r="V1410" s="27"/>
    </row>
    <row r="1411" spans="1:32" s="20" customFormat="1" ht="14.25" customHeight="1">
      <c r="A1411" s="25"/>
      <c r="B1411" s="882"/>
      <c r="C1411" s="882"/>
      <c r="D1411" s="882"/>
      <c r="E1411" s="882"/>
      <c r="F1411" s="882"/>
      <c r="G1411" s="882"/>
      <c r="H1411" s="882"/>
      <c r="I1411" s="882"/>
      <c r="J1411" s="882"/>
      <c r="K1411" s="882"/>
      <c r="L1411" s="882"/>
      <c r="M1411" s="882"/>
      <c r="N1411" s="882"/>
      <c r="O1411" s="882"/>
      <c r="P1411" s="882"/>
      <c r="Q1411" s="882"/>
      <c r="R1411" s="882"/>
      <c r="S1411" s="882"/>
      <c r="T1411" s="882"/>
      <c r="U1411" s="882"/>
      <c r="V1411" s="27"/>
    </row>
    <row r="1412" spans="1:32" s="20" customFormat="1" ht="21" customHeight="1">
      <c r="A1412" s="726" t="s">
        <v>84</v>
      </c>
      <c r="B1412" s="573" t="s">
        <v>411</v>
      </c>
      <c r="C1412" s="457"/>
      <c r="D1412" s="457"/>
      <c r="E1412" s="458"/>
      <c r="F1412" s="786" t="s">
        <v>412</v>
      </c>
      <c r="G1412" s="786"/>
      <c r="H1412" s="786"/>
      <c r="I1412" s="786"/>
      <c r="J1412" s="786"/>
      <c r="K1412" s="786"/>
      <c r="L1412" s="786" t="s">
        <v>413</v>
      </c>
      <c r="M1412" s="786"/>
      <c r="N1412" s="786"/>
      <c r="O1412" s="786"/>
      <c r="P1412" s="786"/>
      <c r="Q1412" s="786"/>
      <c r="R1412" s="99" t="s">
        <v>414</v>
      </c>
      <c r="S1412" s="99"/>
      <c r="T1412" s="99"/>
      <c r="U1412" s="99"/>
      <c r="V1412" s="27"/>
    </row>
    <row r="1413" spans="1:32" s="20" customFormat="1" ht="26.25" customHeight="1">
      <c r="A1413" s="732"/>
      <c r="B1413" s="787">
        <f>B1373</f>
        <v>2017</v>
      </c>
      <c r="C1413" s="788"/>
      <c r="D1413" s="788"/>
      <c r="E1413" s="789"/>
      <c r="F1413" s="99" t="s">
        <v>415</v>
      </c>
      <c r="G1413" s="99"/>
      <c r="H1413" s="99"/>
      <c r="I1413" s="99" t="s">
        <v>416</v>
      </c>
      <c r="J1413" s="99"/>
      <c r="K1413" s="99"/>
      <c r="L1413" s="99" t="s">
        <v>415</v>
      </c>
      <c r="M1413" s="99"/>
      <c r="N1413" s="99"/>
      <c r="O1413" s="790" t="s">
        <v>416</v>
      </c>
      <c r="P1413" s="790"/>
      <c r="Q1413" s="790"/>
      <c r="R1413" s="787">
        <f>R1373</f>
        <v>2017</v>
      </c>
      <c r="S1413" s="788"/>
      <c r="T1413" s="788"/>
      <c r="U1413" s="789"/>
      <c r="V1413" s="804"/>
      <c r="W1413" s="805"/>
      <c r="X1413" s="805"/>
      <c r="Y1413" s="208" t="s">
        <v>417</v>
      </c>
      <c r="Z1413" s="805"/>
      <c r="AA1413" s="805"/>
      <c r="AB1413" s="805"/>
      <c r="AC1413" s="712" t="s">
        <v>404</v>
      </c>
      <c r="AD1413" s="713"/>
      <c r="AE1413" s="713"/>
      <c r="AF1413" s="806"/>
    </row>
    <row r="1414" spans="1:32" s="20" customFormat="1" ht="27.75" customHeight="1">
      <c r="A1414" s="771" t="str">
        <f>C1408</f>
        <v>Aset Tetap Lainnya</v>
      </c>
      <c r="B1414" s="853">
        <f>'[1]4.NERACA'!D123</f>
        <v>0</v>
      </c>
      <c r="C1414" s="854"/>
      <c r="D1414" s="854"/>
      <c r="E1414" s="855"/>
      <c r="F1414" s="901">
        <f>'[1]4.NERACA'!E123</f>
        <v>0</v>
      </c>
      <c r="G1414" s="901"/>
      <c r="H1414" s="901"/>
      <c r="I1414" s="902">
        <f>'[1]4.NERACA'!F123</f>
        <v>587377500</v>
      </c>
      <c r="J1414" s="902"/>
      <c r="K1414" s="902"/>
      <c r="L1414" s="902">
        <f>'[1]4.NERACA'!G123</f>
        <v>587377500</v>
      </c>
      <c r="M1414" s="902"/>
      <c r="N1414" s="902"/>
      <c r="O1414" s="901">
        <f>'[1]4.NERACA'!H122</f>
        <v>0</v>
      </c>
      <c r="P1414" s="901"/>
      <c r="Q1414" s="901"/>
      <c r="R1414" s="901">
        <f>B1414+F1414-I1414+L1414-O1414</f>
        <v>0</v>
      </c>
      <c r="S1414" s="901"/>
      <c r="T1414" s="901"/>
      <c r="U1414" s="901"/>
      <c r="V1414" s="808"/>
      <c r="W1414" s="805"/>
      <c r="X1414" s="805"/>
      <c r="Y1414" s="208">
        <v>0</v>
      </c>
      <c r="Z1414" s="805"/>
      <c r="AA1414" s="805"/>
      <c r="AB1414" s="805"/>
      <c r="AC1414" s="451">
        <f>R1414-B1414</f>
        <v>0</v>
      </c>
      <c r="AD1414" s="452"/>
      <c r="AE1414" s="452"/>
      <c r="AF1414" s="453"/>
    </row>
    <row r="1415" spans="1:32" s="20" customFormat="1" ht="32.25" customHeight="1">
      <c r="A1415" s="14"/>
      <c r="B1415" s="842" t="s">
        <v>418</v>
      </c>
      <c r="C1415" s="842"/>
      <c r="D1415" s="842"/>
      <c r="E1415" s="842"/>
      <c r="F1415" s="842"/>
      <c r="G1415" s="842"/>
      <c r="H1415" s="842"/>
      <c r="I1415" s="842"/>
      <c r="J1415" s="842"/>
      <c r="K1415" s="842"/>
      <c r="L1415" s="842"/>
      <c r="M1415" s="842"/>
      <c r="N1415" s="843"/>
      <c r="O1415" s="843"/>
      <c r="P1415" s="843"/>
      <c r="Q1415" s="843"/>
      <c r="R1415" s="843"/>
      <c r="S1415" s="843"/>
      <c r="T1415" s="843"/>
      <c r="U1415" s="843"/>
      <c r="V1415" s="27"/>
    </row>
    <row r="1416" spans="1:32" s="20" customFormat="1" ht="15" customHeight="1">
      <c r="A1416" s="14"/>
      <c r="B1416" s="774" t="s">
        <v>119</v>
      </c>
      <c r="C1416" s="775" t="str">
        <f>'[1]4.NERACA'!C131</f>
        <v>Aset Tetap Renovasi</v>
      </c>
      <c r="D1416" s="775"/>
      <c r="E1416" s="775"/>
      <c r="F1416" s="775"/>
      <c r="G1416" s="775"/>
      <c r="H1416" s="775"/>
      <c r="I1416" s="775"/>
      <c r="J1416" s="775"/>
      <c r="K1416" s="775"/>
      <c r="L1416" s="775"/>
      <c r="M1416" s="775"/>
      <c r="N1416" s="775"/>
      <c r="O1416" s="775"/>
      <c r="P1416" s="775"/>
      <c r="Q1416" s="775"/>
      <c r="R1416" s="775"/>
      <c r="S1416" s="775"/>
      <c r="T1416" s="775"/>
      <c r="U1416" s="775"/>
      <c r="V1416" s="27"/>
    </row>
    <row r="1417" spans="1:32" s="20" customFormat="1" ht="63" customHeight="1">
      <c r="A1417" s="14"/>
      <c r="C1417" s="313" t="str">
        <f>"Nilai aset tetap berupa "&amp;C1416&amp;"  per "&amp;'[1]2.ISIAN DATA SKPD'!D8&amp;" dan  "&amp;'[1]2.ISIAN DATA SKPD'!D12&amp;" adalah sebesar Rp. "&amp;FIXED(R1422)&amp;" dan Rp. "&amp;FIXED(B1422)&amp;" mengalami kenaikan/penurunan sebesar Rp. "&amp;FIXED(AC1422)&amp;" atau sebesar "&amp;FIXED(Y1422)&amp;"% dari tahun "&amp;'[1]2.ISIAN DATA SKPD'!D12&amp;"."</f>
        <v>Nilai aset tetap berupa Aset Tetap Renovasi  per 31 Desember 2017 dan  2016 adalah sebesar Rp. 0.00 dan Rp. 0.00 mengalami kenaikan/penurunan sebesar Rp. 0.00 atau sebesar 0.00% dari tahun 2016.</v>
      </c>
      <c r="D1417" s="313"/>
      <c r="E1417" s="313"/>
      <c r="F1417" s="313"/>
      <c r="G1417" s="313"/>
      <c r="H1417" s="313"/>
      <c r="I1417" s="313"/>
      <c r="J1417" s="313"/>
      <c r="K1417" s="313"/>
      <c r="L1417" s="313"/>
      <c r="M1417" s="313"/>
      <c r="N1417" s="313"/>
      <c r="O1417" s="313"/>
      <c r="P1417" s="313"/>
      <c r="Q1417" s="313"/>
      <c r="R1417" s="313"/>
      <c r="S1417" s="313"/>
      <c r="T1417" s="313"/>
      <c r="U1417" s="313"/>
      <c r="V1417" s="27"/>
    </row>
    <row r="1418" spans="1:32" s="20" customFormat="1" ht="19.5" customHeight="1">
      <c r="A1418" s="14"/>
      <c r="B1418" s="285"/>
      <c r="C1418" s="313" t="str">
        <f>"Dengan mutasi  selama tahun "&amp;'[1]2.ISIAN DATA SKPD'!D11&amp;" sebagai berikut :"</f>
        <v>Dengan mutasi  selama tahun 2017 sebagai berikut :</v>
      </c>
      <c r="D1418" s="313"/>
      <c r="E1418" s="313"/>
      <c r="F1418" s="313"/>
      <c r="G1418" s="313"/>
      <c r="H1418" s="313"/>
      <c r="I1418" s="313"/>
      <c r="J1418" s="313"/>
      <c r="K1418" s="313"/>
      <c r="L1418" s="313"/>
      <c r="M1418" s="313"/>
      <c r="N1418" s="313"/>
      <c r="O1418" s="313"/>
      <c r="P1418" s="313"/>
      <c r="Q1418" s="313"/>
      <c r="R1418" s="313"/>
      <c r="S1418" s="313"/>
      <c r="T1418" s="313"/>
      <c r="U1418" s="313"/>
      <c r="V1418" s="27"/>
    </row>
    <row r="1419" spans="1:32" s="20" customFormat="1" ht="21" customHeight="1">
      <c r="A1419" s="14"/>
      <c r="B1419" s="285"/>
      <c r="C1419" s="882"/>
      <c r="D1419" s="882"/>
      <c r="E1419" s="882"/>
      <c r="F1419" s="882"/>
      <c r="G1419" s="882"/>
      <c r="H1419" s="882"/>
      <c r="I1419" s="882"/>
      <c r="J1419" s="882"/>
      <c r="K1419" s="882"/>
      <c r="L1419" s="882"/>
      <c r="M1419" s="882"/>
      <c r="N1419" s="882"/>
      <c r="O1419" s="882"/>
      <c r="P1419" s="882"/>
      <c r="Q1419" s="882"/>
      <c r="R1419" s="882"/>
      <c r="S1419" s="882"/>
      <c r="T1419" s="882"/>
      <c r="U1419" s="882"/>
      <c r="V1419" s="27"/>
    </row>
    <row r="1420" spans="1:32" s="20" customFormat="1" ht="30.75" customHeight="1">
      <c r="A1420" s="726" t="s">
        <v>84</v>
      </c>
      <c r="B1420" s="727" t="s">
        <v>411</v>
      </c>
      <c r="C1420" s="728"/>
      <c r="D1420" s="728"/>
      <c r="E1420" s="729"/>
      <c r="F1420" s="730" t="s">
        <v>412</v>
      </c>
      <c r="G1420" s="730"/>
      <c r="H1420" s="730"/>
      <c r="I1420" s="730"/>
      <c r="J1420" s="730"/>
      <c r="K1420" s="730"/>
      <c r="L1420" s="730" t="s">
        <v>413</v>
      </c>
      <c r="M1420" s="730"/>
      <c r="N1420" s="730"/>
      <c r="O1420" s="730"/>
      <c r="P1420" s="730"/>
      <c r="Q1420" s="730"/>
      <c r="R1420" s="731" t="s">
        <v>414</v>
      </c>
      <c r="S1420" s="731"/>
      <c r="T1420" s="731"/>
      <c r="U1420" s="731"/>
      <c r="V1420" s="27"/>
    </row>
    <row r="1421" spans="1:32" s="20" customFormat="1" ht="18.75" customHeight="1">
      <c r="A1421" s="732"/>
      <c r="B1421" s="733">
        <f>B1373</f>
        <v>2017</v>
      </c>
      <c r="C1421" s="734"/>
      <c r="D1421" s="734"/>
      <c r="E1421" s="735"/>
      <c r="F1421" s="731" t="s">
        <v>415</v>
      </c>
      <c r="G1421" s="731"/>
      <c r="H1421" s="731"/>
      <c r="I1421" s="731" t="s">
        <v>416</v>
      </c>
      <c r="J1421" s="731"/>
      <c r="K1421" s="731"/>
      <c r="L1421" s="731" t="s">
        <v>415</v>
      </c>
      <c r="M1421" s="731"/>
      <c r="N1421" s="731"/>
      <c r="O1421" s="736" t="s">
        <v>416</v>
      </c>
      <c r="P1421" s="736"/>
      <c r="Q1421" s="736"/>
      <c r="R1421" s="787">
        <f>R1373</f>
        <v>2017</v>
      </c>
      <c r="S1421" s="788"/>
      <c r="T1421" s="788"/>
      <c r="U1421" s="789"/>
      <c r="V1421" s="804"/>
      <c r="W1421" s="805"/>
      <c r="X1421" s="805"/>
      <c r="Y1421" s="208" t="s">
        <v>417</v>
      </c>
      <c r="Z1421" s="805"/>
      <c r="AA1421" s="805"/>
      <c r="AB1421" s="805"/>
      <c r="AC1421" s="712" t="s">
        <v>404</v>
      </c>
      <c r="AD1421" s="713"/>
      <c r="AE1421" s="713"/>
      <c r="AF1421" s="806"/>
    </row>
    <row r="1422" spans="1:32" s="20" customFormat="1" ht="28.5" customHeight="1">
      <c r="A1422" s="771" t="str">
        <f>C1416</f>
        <v>Aset Tetap Renovasi</v>
      </c>
      <c r="B1422" s="889">
        <f>'[1]4.NERACA'!D123</f>
        <v>0</v>
      </c>
      <c r="C1422" s="890"/>
      <c r="D1422" s="890"/>
      <c r="E1422" s="891"/>
      <c r="F1422" s="889">
        <f>'[1]4.NERACA'!E123</f>
        <v>0</v>
      </c>
      <c r="G1422" s="890"/>
      <c r="H1422" s="891"/>
      <c r="I1422" s="886">
        <f>'[1]4.NERACA'!F123</f>
        <v>587377500</v>
      </c>
      <c r="J1422" s="887"/>
      <c r="K1422" s="888"/>
      <c r="L1422" s="886">
        <f>'[1]4.NERACA'!G123</f>
        <v>587377500</v>
      </c>
      <c r="M1422" s="887"/>
      <c r="N1422" s="888"/>
      <c r="O1422" s="889">
        <f>'[1]4.NERACA'!H123</f>
        <v>0</v>
      </c>
      <c r="P1422" s="890"/>
      <c r="Q1422" s="891"/>
      <c r="R1422" s="889">
        <f>B1422+F1422-I1422+L1422-O1422</f>
        <v>0</v>
      </c>
      <c r="S1422" s="890"/>
      <c r="T1422" s="890"/>
      <c r="U1422" s="891"/>
      <c r="V1422" s="808"/>
      <c r="W1422" s="805"/>
      <c r="X1422" s="805"/>
      <c r="Y1422" s="208">
        <v>0</v>
      </c>
      <c r="Z1422" s="805"/>
      <c r="AA1422" s="805"/>
      <c r="AB1422" s="805"/>
      <c r="AC1422" s="451">
        <f>R1422-B1422</f>
        <v>0</v>
      </c>
      <c r="AD1422" s="452"/>
      <c r="AE1422" s="452"/>
      <c r="AF1422" s="453"/>
    </row>
    <row r="1423" spans="1:32" s="20" customFormat="1" ht="15" customHeight="1">
      <c r="A1423" s="782"/>
      <c r="B1423" s="772" t="s">
        <v>436</v>
      </c>
      <c r="C1423" s="772"/>
      <c r="D1423" s="772"/>
      <c r="E1423" s="772"/>
      <c r="F1423" s="772"/>
      <c r="G1423" s="772"/>
      <c r="H1423" s="772"/>
      <c r="I1423" s="772"/>
      <c r="J1423" s="772"/>
      <c r="K1423" s="772"/>
      <c r="L1423" s="772"/>
      <c r="M1423" s="772"/>
      <c r="N1423" s="772"/>
      <c r="O1423" s="772"/>
      <c r="P1423" s="772"/>
      <c r="Q1423" s="772"/>
      <c r="R1423" s="772"/>
      <c r="S1423" s="772"/>
      <c r="T1423" s="772"/>
      <c r="U1423" s="772"/>
      <c r="V1423" s="27"/>
    </row>
    <row r="1424" spans="1:32" s="20" customFormat="1" ht="18.75" customHeight="1">
      <c r="A1424" s="782"/>
      <c r="B1424" s="442"/>
      <c r="C1424" s="428" t="s">
        <v>428</v>
      </c>
      <c r="D1424" s="428"/>
      <c r="E1424" s="428"/>
      <c r="F1424" s="428"/>
      <c r="G1424" s="428"/>
      <c r="H1424" s="428"/>
      <c r="I1424" s="428"/>
      <c r="J1424" s="428"/>
      <c r="K1424" s="428"/>
      <c r="L1424" s="428"/>
      <c r="M1424" s="428"/>
      <c r="N1424" s="428"/>
      <c r="O1424" s="428"/>
      <c r="P1424" s="428"/>
      <c r="Q1424" s="428"/>
      <c r="R1424" s="428"/>
      <c r="S1424" s="428"/>
      <c r="T1424" s="428"/>
      <c r="U1424" s="428"/>
      <c r="V1424" s="27"/>
    </row>
    <row r="1425" spans="1:32" s="20" customFormat="1" ht="85.5" customHeight="1">
      <c r="A1425" s="782"/>
      <c r="B1425" s="442"/>
      <c r="C1425" s="354" t="str">
        <f>"Mutasi Debet sebesar Rp. "&amp;FIXED(F1422+L1422)&amp;" adalah hasil pengadaan barang tahun "&amp;'[1]2.ISIAN DATA SKPD'!D11&amp;" dari belanja modal berupa Pembangunan RTP Kel Pagerkukuh dan RTP Kel Jaraksari senilai Rp. 389.273.200,00 dan penataan lingkungan rumah dinas wakil Bupati senilai Rp. 198.104.300,00"</f>
        <v>Mutasi Debet sebesar Rp. 587,377,500.00 adalah hasil pengadaan barang tahun 2017 dari belanja modal berupa Pembangunan RTP Kel Pagerkukuh dan RTP Kel Jaraksari senilai Rp. 389.273.200,00 dan penataan lingkungan rumah dinas wakil Bupati senilai Rp. 198.104.300,00</v>
      </c>
      <c r="D1425" s="354"/>
      <c r="E1425" s="354"/>
      <c r="F1425" s="354"/>
      <c r="G1425" s="354"/>
      <c r="H1425" s="354"/>
      <c r="I1425" s="354"/>
      <c r="J1425" s="354"/>
      <c r="K1425" s="354"/>
      <c r="L1425" s="354"/>
      <c r="M1425" s="354"/>
      <c r="N1425" s="354"/>
      <c r="O1425" s="354"/>
      <c r="P1425" s="354"/>
      <c r="Q1425" s="354"/>
      <c r="R1425" s="354"/>
      <c r="S1425" s="354"/>
      <c r="T1425" s="354"/>
      <c r="U1425" s="354"/>
      <c r="V1425" s="27"/>
    </row>
    <row r="1426" spans="1:32" s="20" customFormat="1" ht="24.75" customHeight="1">
      <c r="A1426" s="782"/>
      <c r="B1426" s="442"/>
      <c r="C1426" s="428" t="s">
        <v>430</v>
      </c>
      <c r="D1426" s="428"/>
      <c r="E1426" s="428"/>
      <c r="F1426" s="428"/>
      <c r="G1426" s="428"/>
      <c r="H1426" s="428"/>
      <c r="I1426" s="428"/>
      <c r="J1426" s="428"/>
      <c r="K1426" s="428"/>
      <c r="L1426" s="428"/>
      <c r="M1426" s="428"/>
      <c r="N1426" s="428"/>
      <c r="O1426" s="428"/>
      <c r="P1426" s="428"/>
      <c r="Q1426" s="428"/>
      <c r="R1426" s="428"/>
      <c r="S1426" s="428"/>
      <c r="T1426" s="428"/>
      <c r="U1426" s="428"/>
      <c r="V1426" s="27"/>
    </row>
    <row r="1427" spans="1:32" s="20" customFormat="1" ht="69.75" customHeight="1">
      <c r="A1427" s="782"/>
      <c r="B1427" s="784"/>
      <c r="C1427" s="354" t="str">
        <f>"Mutasi Kredit Rp. "&amp;FIXED(I1422+O1422)&amp;" adalah penghapusan berupa .Pembangunan RTP Kel Pagerkukuh dan RTP Kel Jaraksari senilai Rp. 389.273.200,00 dan penataan lingkungan rumah dinas wakil Bupati senilai Rp. 198.104.300 ,00"</f>
        <v>Mutasi Kredit Rp. 587,377,500.00 adalah penghapusan berupa .Pembangunan RTP Kel Pagerkukuh dan RTP Kel Jaraksari senilai Rp. 389.273.200,00 dan penataan lingkungan rumah dinas wakil Bupati senilai Rp. 198.104.300 ,00</v>
      </c>
      <c r="D1427" s="354"/>
      <c r="E1427" s="354"/>
      <c r="F1427" s="354"/>
      <c r="G1427" s="354"/>
      <c r="H1427" s="354"/>
      <c r="I1427" s="354"/>
      <c r="J1427" s="354"/>
      <c r="K1427" s="354"/>
      <c r="L1427" s="354"/>
      <c r="M1427" s="354"/>
      <c r="N1427" s="354"/>
      <c r="O1427" s="354"/>
      <c r="P1427" s="354"/>
      <c r="Q1427" s="354"/>
      <c r="R1427" s="354"/>
      <c r="S1427" s="354"/>
      <c r="T1427" s="354"/>
      <c r="U1427" s="354"/>
      <c r="V1427" s="27"/>
    </row>
    <row r="1428" spans="1:32" s="20" customFormat="1" ht="6" customHeight="1">
      <c r="A1428" s="14"/>
      <c r="B1428" s="385"/>
      <c r="C1428" s="385"/>
      <c r="D1428" s="385"/>
      <c r="E1428" s="385"/>
      <c r="F1428" s="385"/>
      <c r="G1428" s="385"/>
      <c r="H1428" s="385"/>
      <c r="I1428" s="385"/>
      <c r="J1428" s="385"/>
      <c r="K1428" s="385"/>
      <c r="L1428" s="385"/>
      <c r="M1428" s="385"/>
      <c r="N1428" s="483"/>
      <c r="O1428" s="483"/>
      <c r="P1428" s="483"/>
      <c r="Q1428" s="483"/>
      <c r="R1428" s="483"/>
      <c r="S1428" s="483"/>
      <c r="T1428" s="483"/>
      <c r="U1428" s="483"/>
      <c r="V1428" s="27"/>
    </row>
    <row r="1429" spans="1:32" s="20" customFormat="1" ht="15" customHeight="1">
      <c r="A1429" s="810"/>
      <c r="B1429" s="811" t="s">
        <v>112</v>
      </c>
      <c r="C1429" s="812" t="str">
        <f>'[1]4.NERACA'!C125</f>
        <v>Terbitan</v>
      </c>
      <c r="D1429" s="812"/>
      <c r="E1429" s="812"/>
      <c r="F1429" s="812"/>
      <c r="G1429" s="812"/>
      <c r="H1429" s="812"/>
      <c r="I1429" s="812"/>
      <c r="J1429" s="812"/>
      <c r="K1429" s="812"/>
      <c r="L1429" s="812"/>
      <c r="M1429" s="812"/>
      <c r="N1429" s="812"/>
      <c r="O1429" s="812"/>
      <c r="P1429" s="812"/>
      <c r="Q1429" s="812"/>
      <c r="R1429" s="812"/>
      <c r="S1429" s="812"/>
      <c r="T1429" s="812"/>
      <c r="U1429" s="812"/>
      <c r="V1429" s="27"/>
    </row>
    <row r="1430" spans="1:32" s="20" customFormat="1" ht="63" customHeight="1">
      <c r="A1430" s="810"/>
      <c r="B1430" s="903"/>
      <c r="C1430" s="904" t="str">
        <f>"Nilai aset tetap berupa "&amp;C1429&amp;"  per "&amp;'[1]2.ISIAN DATA SKPD'!D8&amp;" dan  "&amp;'[1]2.ISIAN DATA SKPD'!D12&amp;" adalah sebesar Rp. "&amp;FIXED(R1435)&amp;" dan Rp. "&amp;FIXED(B1435)&amp;" tidak mengalami kenaikan/penurunan sebesar Rp. "&amp;FIXED(AC1435)&amp;" atau sebesar "&amp;FIXED(Y1435)&amp;"% dari tahun "&amp;'[1]2.ISIAN DATA SKPD'!D12&amp;"."</f>
        <v>Nilai aset tetap berupa Terbitan  per 31 Desember 2017 dan  2016 adalah sebesar Rp. 0.00 dan Rp. 0.00 tidak mengalami kenaikan/penurunan sebesar Rp. 0.00 atau sebesar 0.00% dari tahun 2016.</v>
      </c>
      <c r="D1430" s="904"/>
      <c r="E1430" s="904"/>
      <c r="F1430" s="904"/>
      <c r="G1430" s="904"/>
      <c r="H1430" s="904"/>
      <c r="I1430" s="904"/>
      <c r="J1430" s="904"/>
      <c r="K1430" s="904"/>
      <c r="L1430" s="904"/>
      <c r="M1430" s="904"/>
      <c r="N1430" s="904"/>
      <c r="O1430" s="904"/>
      <c r="P1430" s="904"/>
      <c r="Q1430" s="904"/>
      <c r="R1430" s="904"/>
      <c r="S1430" s="904"/>
      <c r="T1430" s="904"/>
      <c r="U1430" s="904"/>
      <c r="V1430" s="27"/>
    </row>
    <row r="1431" spans="1:32" s="20" customFormat="1" ht="24.75" customHeight="1">
      <c r="A1431" s="810"/>
      <c r="B1431" s="905"/>
      <c r="C1431" s="904" t="str">
        <f>"Dengan mutasi  selama tahun "&amp;'[1]2.ISIAN DATA SKPD'!D11&amp;" sebagai berikut :"</f>
        <v>Dengan mutasi  selama tahun 2017 sebagai berikut :</v>
      </c>
      <c r="D1431" s="904"/>
      <c r="E1431" s="904"/>
      <c r="F1431" s="904"/>
      <c r="G1431" s="904"/>
      <c r="H1431" s="904"/>
      <c r="I1431" s="904"/>
      <c r="J1431" s="904"/>
      <c r="K1431" s="904"/>
      <c r="L1431" s="904"/>
      <c r="M1431" s="904"/>
      <c r="N1431" s="904"/>
      <c r="O1431" s="904"/>
      <c r="P1431" s="904"/>
      <c r="Q1431" s="904"/>
      <c r="R1431" s="904"/>
      <c r="S1431" s="904"/>
      <c r="T1431" s="904"/>
      <c r="U1431" s="904"/>
      <c r="V1431" s="27"/>
    </row>
    <row r="1432" spans="1:32" s="20" customFormat="1" ht="4.5" customHeight="1">
      <c r="A1432" s="14"/>
      <c r="B1432" s="285"/>
      <c r="C1432" s="882"/>
      <c r="D1432" s="882"/>
      <c r="E1432" s="882"/>
      <c r="F1432" s="882"/>
      <c r="G1432" s="882"/>
      <c r="H1432" s="882"/>
      <c r="I1432" s="882"/>
      <c r="J1432" s="882"/>
      <c r="K1432" s="882"/>
      <c r="L1432" s="882"/>
      <c r="M1432" s="882"/>
      <c r="N1432" s="882"/>
      <c r="O1432" s="882"/>
      <c r="P1432" s="882"/>
      <c r="Q1432" s="882"/>
      <c r="R1432" s="882"/>
      <c r="S1432" s="882"/>
      <c r="T1432" s="882"/>
      <c r="U1432" s="882"/>
      <c r="V1432" s="27"/>
    </row>
    <row r="1433" spans="1:32" s="20" customFormat="1" ht="21.75" customHeight="1">
      <c r="A1433" s="726" t="s">
        <v>84</v>
      </c>
      <c r="B1433" s="727" t="s">
        <v>411</v>
      </c>
      <c r="C1433" s="728"/>
      <c r="D1433" s="728"/>
      <c r="E1433" s="729"/>
      <c r="F1433" s="730" t="s">
        <v>412</v>
      </c>
      <c r="G1433" s="730"/>
      <c r="H1433" s="730"/>
      <c r="I1433" s="730"/>
      <c r="J1433" s="730"/>
      <c r="K1433" s="730"/>
      <c r="L1433" s="730" t="s">
        <v>413</v>
      </c>
      <c r="M1433" s="730"/>
      <c r="N1433" s="730"/>
      <c r="O1433" s="730"/>
      <c r="P1433" s="730"/>
      <c r="Q1433" s="730"/>
      <c r="R1433" s="731" t="s">
        <v>414</v>
      </c>
      <c r="S1433" s="731"/>
      <c r="T1433" s="731"/>
      <c r="U1433" s="731"/>
      <c r="V1433" s="27"/>
    </row>
    <row r="1434" spans="1:32" s="20" customFormat="1" ht="22.5" customHeight="1">
      <c r="A1434" s="732"/>
      <c r="B1434" s="733">
        <f>B1373</f>
        <v>2017</v>
      </c>
      <c r="C1434" s="734"/>
      <c r="D1434" s="734"/>
      <c r="E1434" s="735"/>
      <c r="F1434" s="731" t="s">
        <v>415</v>
      </c>
      <c r="G1434" s="731"/>
      <c r="H1434" s="731"/>
      <c r="I1434" s="731" t="s">
        <v>416</v>
      </c>
      <c r="J1434" s="731"/>
      <c r="K1434" s="731"/>
      <c r="L1434" s="731" t="s">
        <v>415</v>
      </c>
      <c r="M1434" s="731"/>
      <c r="N1434" s="731"/>
      <c r="O1434" s="736" t="s">
        <v>416</v>
      </c>
      <c r="P1434" s="736"/>
      <c r="Q1434" s="736"/>
      <c r="R1434" s="813">
        <f>R1373</f>
        <v>2017</v>
      </c>
      <c r="S1434" s="736"/>
      <c r="T1434" s="736"/>
      <c r="U1434" s="736"/>
      <c r="V1434" s="804"/>
      <c r="W1434" s="805"/>
      <c r="X1434" s="805"/>
      <c r="Y1434" s="208" t="s">
        <v>417</v>
      </c>
      <c r="Z1434" s="805"/>
      <c r="AA1434" s="805"/>
      <c r="AB1434" s="805"/>
      <c r="AC1434" s="712" t="s">
        <v>404</v>
      </c>
      <c r="AD1434" s="713"/>
      <c r="AE1434" s="713"/>
      <c r="AF1434" s="806"/>
    </row>
    <row r="1435" spans="1:32" s="20" customFormat="1" ht="42" customHeight="1">
      <c r="A1435" s="746" t="str">
        <f>C1429</f>
        <v>Terbitan</v>
      </c>
      <c r="B1435" s="757">
        <f>'[1]4.NERACA'!D124</f>
        <v>0</v>
      </c>
      <c r="C1435" s="758"/>
      <c r="D1435" s="758"/>
      <c r="E1435" s="759"/>
      <c r="F1435" s="757">
        <f>'[1]4.NERACA'!E124</f>
        <v>0</v>
      </c>
      <c r="G1435" s="758"/>
      <c r="H1435" s="759"/>
      <c r="I1435" s="757">
        <f>'[1]4.NERACA'!F124</f>
        <v>0</v>
      </c>
      <c r="J1435" s="758"/>
      <c r="K1435" s="759"/>
      <c r="L1435" s="757">
        <f>'[1]4.NERACA'!G124</f>
        <v>0</v>
      </c>
      <c r="M1435" s="758"/>
      <c r="N1435" s="759"/>
      <c r="O1435" s="757">
        <f>'[1]4.NERACA'!H124</f>
        <v>0</v>
      </c>
      <c r="P1435" s="758"/>
      <c r="Q1435" s="759"/>
      <c r="R1435" s="757">
        <f>B1435+F1435-I1435+L1435-O1435</f>
        <v>0</v>
      </c>
      <c r="S1435" s="758"/>
      <c r="T1435" s="758"/>
      <c r="U1435" s="759"/>
      <c r="V1435" s="808"/>
      <c r="W1435" s="805"/>
      <c r="X1435" s="805"/>
      <c r="Y1435" s="208">
        <v>0</v>
      </c>
      <c r="Z1435" s="805"/>
      <c r="AA1435" s="805"/>
      <c r="AB1435" s="805"/>
      <c r="AC1435" s="451">
        <f>R1435-B1435</f>
        <v>0</v>
      </c>
      <c r="AD1435" s="452"/>
      <c r="AE1435" s="452"/>
      <c r="AF1435" s="453"/>
    </row>
    <row r="1436" spans="1:32" s="20" customFormat="1" ht="24" customHeight="1">
      <c r="A1436" s="782"/>
      <c r="B1436" s="772" t="s">
        <v>436</v>
      </c>
      <c r="C1436" s="772"/>
      <c r="D1436" s="772"/>
      <c r="E1436" s="772"/>
      <c r="F1436" s="772"/>
      <c r="G1436" s="772"/>
      <c r="H1436" s="772"/>
      <c r="I1436" s="772"/>
      <c r="J1436" s="772"/>
      <c r="K1436" s="772"/>
      <c r="L1436" s="772"/>
      <c r="M1436" s="772"/>
      <c r="N1436" s="772"/>
      <c r="O1436" s="772"/>
      <c r="P1436" s="772"/>
      <c r="Q1436" s="772"/>
      <c r="R1436" s="772"/>
      <c r="S1436" s="772"/>
      <c r="T1436" s="772"/>
      <c r="U1436" s="772"/>
      <c r="V1436" s="27"/>
    </row>
    <row r="1437" spans="1:32" s="20" customFormat="1" ht="15" customHeight="1">
      <c r="A1437" s="782"/>
      <c r="B1437" s="442"/>
      <c r="C1437" s="428" t="s">
        <v>428</v>
      </c>
      <c r="D1437" s="428"/>
      <c r="E1437" s="428"/>
      <c r="F1437" s="428"/>
      <c r="G1437" s="428"/>
      <c r="H1437" s="428"/>
      <c r="I1437" s="428"/>
      <c r="J1437" s="428"/>
      <c r="K1437" s="428"/>
      <c r="L1437" s="428"/>
      <c r="M1437" s="428"/>
      <c r="N1437" s="428"/>
      <c r="O1437" s="428"/>
      <c r="P1437" s="428"/>
      <c r="Q1437" s="428"/>
      <c r="R1437" s="428"/>
      <c r="S1437" s="428"/>
      <c r="T1437" s="428"/>
      <c r="U1437" s="428"/>
      <c r="V1437" s="27"/>
    </row>
    <row r="1438" spans="1:32" s="20" customFormat="1" ht="21" customHeight="1">
      <c r="A1438" s="782"/>
      <c r="B1438" s="442"/>
      <c r="C1438" s="354" t="str">
        <f>"Mutasi Debet sebesar Rp. "&amp;FIXED(F1435+L1435)&amp;" ."</f>
        <v>Mutasi Debet sebesar Rp. 0.00 .</v>
      </c>
      <c r="D1438" s="354"/>
      <c r="E1438" s="354"/>
      <c r="F1438" s="354"/>
      <c r="G1438" s="354"/>
      <c r="H1438" s="354"/>
      <c r="I1438" s="354"/>
      <c r="J1438" s="354"/>
      <c r="K1438" s="354"/>
      <c r="L1438" s="354"/>
      <c r="M1438" s="354"/>
      <c r="N1438" s="354"/>
      <c r="O1438" s="354"/>
      <c r="P1438" s="354"/>
      <c r="Q1438" s="354"/>
      <c r="R1438" s="354"/>
      <c r="S1438" s="354"/>
      <c r="T1438" s="354"/>
      <c r="U1438" s="354"/>
      <c r="V1438" s="27"/>
    </row>
    <row r="1439" spans="1:32" s="20" customFormat="1" ht="21" customHeight="1">
      <c r="A1439" s="782"/>
      <c r="B1439" s="442"/>
      <c r="C1439" s="428" t="s">
        <v>430</v>
      </c>
      <c r="D1439" s="428"/>
      <c r="E1439" s="428"/>
      <c r="F1439" s="428"/>
      <c r="G1439" s="428"/>
      <c r="H1439" s="428"/>
      <c r="I1439" s="428"/>
      <c r="J1439" s="428"/>
      <c r="K1439" s="428"/>
      <c r="L1439" s="428"/>
      <c r="M1439" s="428"/>
      <c r="N1439" s="428"/>
      <c r="O1439" s="428"/>
      <c r="P1439" s="428"/>
      <c r="Q1439" s="428"/>
      <c r="R1439" s="428"/>
      <c r="S1439" s="428"/>
      <c r="T1439" s="428"/>
      <c r="U1439" s="428"/>
      <c r="V1439" s="27"/>
    </row>
    <row r="1440" spans="1:32" s="20" customFormat="1" ht="15" customHeight="1">
      <c r="A1440" s="782"/>
      <c r="B1440" s="784"/>
      <c r="C1440" s="354" t="str">
        <f>"Mutasi Kredit Rp. "&amp;FIXED(I1435+O1435)&amp;" "</f>
        <v xml:space="preserve">Mutasi Kredit Rp. 0.00 </v>
      </c>
      <c r="D1440" s="354"/>
      <c r="E1440" s="354"/>
      <c r="F1440" s="354"/>
      <c r="G1440" s="354"/>
      <c r="H1440" s="354"/>
      <c r="I1440" s="354"/>
      <c r="J1440" s="354"/>
      <c r="K1440" s="354"/>
      <c r="L1440" s="354"/>
      <c r="M1440" s="354"/>
      <c r="N1440" s="354"/>
      <c r="O1440" s="354"/>
      <c r="P1440" s="354"/>
      <c r="Q1440" s="354"/>
      <c r="R1440" s="354"/>
      <c r="S1440" s="354"/>
      <c r="T1440" s="354"/>
      <c r="U1440" s="354"/>
      <c r="V1440" s="27"/>
    </row>
    <row r="1441" spans="1:32" s="20" customFormat="1" ht="15" customHeight="1">
      <c r="A1441" s="14"/>
      <c r="B1441" s="385"/>
      <c r="C1441" s="385"/>
      <c r="D1441" s="385"/>
      <c r="E1441" s="385"/>
      <c r="F1441" s="385"/>
      <c r="G1441" s="385"/>
      <c r="H1441" s="385"/>
      <c r="I1441" s="385"/>
      <c r="J1441" s="385"/>
      <c r="K1441" s="385"/>
      <c r="L1441" s="385"/>
      <c r="M1441" s="385"/>
      <c r="N1441" s="483"/>
      <c r="O1441" s="483"/>
      <c r="P1441" s="483"/>
      <c r="Q1441" s="483"/>
      <c r="R1441" s="483"/>
      <c r="S1441" s="483"/>
      <c r="T1441" s="483"/>
      <c r="U1441" s="483"/>
      <c r="V1441" s="27"/>
    </row>
    <row r="1442" spans="1:32" s="20" customFormat="1" ht="19.5" customHeight="1">
      <c r="A1442" s="14"/>
      <c r="B1442" s="774" t="s">
        <v>113</v>
      </c>
      <c r="C1442" s="775" t="str">
        <f>'[1]4.NERACA'!C126</f>
        <v>Barang-Barang Perpustakaan</v>
      </c>
      <c r="D1442" s="775"/>
      <c r="E1442" s="775"/>
      <c r="F1442" s="775"/>
      <c r="G1442" s="775"/>
      <c r="H1442" s="775"/>
      <c r="I1442" s="775"/>
      <c r="J1442" s="775"/>
      <c r="K1442" s="775"/>
      <c r="L1442" s="775"/>
      <c r="M1442" s="775"/>
      <c r="N1442" s="775"/>
      <c r="O1442" s="775"/>
      <c r="P1442" s="775"/>
      <c r="Q1442" s="775"/>
      <c r="R1442" s="775"/>
      <c r="S1442" s="775"/>
      <c r="T1442" s="775"/>
      <c r="U1442" s="775"/>
      <c r="V1442" s="27"/>
    </row>
    <row r="1443" spans="1:32" s="20" customFormat="1" ht="66" customHeight="1">
      <c r="A1443" s="14"/>
      <c r="C1443" s="313" t="str">
        <f>"Nilai aset tetap berupa "&amp;C1442&amp;"  per "&amp;'[1]2.ISIAN DATA SKPD'!D8&amp;" dan  "&amp;'[1]2.ISIAN DATA SKPD'!D12&amp;" adalah sebesar Rp. "&amp;FIXED(R1448)&amp;" dan Rp. "&amp;FIXED(B1448)&amp;" tidak mengalami kenaikan/penurunan sebesar "&amp;FIXED(AC1448)&amp;" atau sebesar "&amp;FIXED(Y1448)&amp;"% dari tahun "&amp;'[1]2.ISIAN DATA SKPD'!D12&amp;"."</f>
        <v>Nilai aset tetap berupa Barang-Barang Perpustakaan  per 31 Desember 2017 dan  2016 adalah sebesar Rp. 0.00 dan Rp. 0.00 tidak mengalami kenaikan/penurunan sebesar 0.00 atau sebesar 0.00% dari tahun 2016.</v>
      </c>
      <c r="D1443" s="313"/>
      <c r="E1443" s="313"/>
      <c r="F1443" s="313"/>
      <c r="G1443" s="313"/>
      <c r="H1443" s="313"/>
      <c r="I1443" s="313"/>
      <c r="J1443" s="313"/>
      <c r="K1443" s="313"/>
      <c r="L1443" s="313"/>
      <c r="M1443" s="313"/>
      <c r="N1443" s="313"/>
      <c r="O1443" s="313"/>
      <c r="P1443" s="313"/>
      <c r="Q1443" s="313"/>
      <c r="R1443" s="313"/>
      <c r="S1443" s="313"/>
      <c r="T1443" s="313"/>
      <c r="U1443" s="313"/>
      <c r="V1443" s="27"/>
    </row>
    <row r="1444" spans="1:32" s="20" customFormat="1" ht="15" customHeight="1">
      <c r="A1444" s="14"/>
      <c r="B1444" s="285"/>
      <c r="C1444" s="313" t="str">
        <f>"Dengan mutasi  selama tahun "&amp;'[1]2.ISIAN DATA SKPD'!D11&amp;" sebagai berikut :"</f>
        <v>Dengan mutasi  selama tahun 2017 sebagai berikut :</v>
      </c>
      <c r="D1444" s="313"/>
      <c r="E1444" s="313"/>
      <c r="F1444" s="313"/>
      <c r="G1444" s="313"/>
      <c r="H1444" s="313"/>
      <c r="I1444" s="313"/>
      <c r="J1444" s="313"/>
      <c r="K1444" s="313"/>
      <c r="L1444" s="313"/>
      <c r="M1444" s="313"/>
      <c r="N1444" s="313"/>
      <c r="O1444" s="313"/>
      <c r="P1444" s="313"/>
      <c r="Q1444" s="313"/>
      <c r="R1444" s="313"/>
      <c r="S1444" s="313"/>
      <c r="T1444" s="313"/>
      <c r="U1444" s="313"/>
      <c r="V1444" s="27"/>
    </row>
    <row r="1445" spans="1:32" s="20" customFormat="1" ht="26.25" customHeight="1">
      <c r="A1445" s="14"/>
      <c r="B1445" s="285"/>
      <c r="C1445" s="882"/>
      <c r="D1445" s="882"/>
      <c r="E1445" s="882"/>
      <c r="F1445" s="882"/>
      <c r="G1445" s="882"/>
      <c r="H1445" s="882"/>
      <c r="I1445" s="882"/>
      <c r="J1445" s="882"/>
      <c r="K1445" s="882"/>
      <c r="L1445" s="882"/>
      <c r="M1445" s="882"/>
      <c r="N1445" s="882"/>
      <c r="O1445" s="882"/>
      <c r="P1445" s="882"/>
      <c r="Q1445" s="882"/>
      <c r="R1445" s="882"/>
      <c r="S1445" s="882"/>
      <c r="T1445" s="882"/>
      <c r="U1445" s="882"/>
      <c r="V1445" s="27"/>
    </row>
    <row r="1446" spans="1:32" s="20" customFormat="1" ht="15" customHeight="1">
      <c r="A1446" s="726" t="s">
        <v>84</v>
      </c>
      <c r="B1446" s="573" t="s">
        <v>411</v>
      </c>
      <c r="C1446" s="457"/>
      <c r="D1446" s="457"/>
      <c r="E1446" s="458"/>
      <c r="F1446" s="786" t="s">
        <v>412</v>
      </c>
      <c r="G1446" s="786"/>
      <c r="H1446" s="786"/>
      <c r="I1446" s="786"/>
      <c r="J1446" s="786"/>
      <c r="K1446" s="786"/>
      <c r="L1446" s="786" t="s">
        <v>413</v>
      </c>
      <c r="M1446" s="786"/>
      <c r="N1446" s="786"/>
      <c r="O1446" s="786"/>
      <c r="P1446" s="786"/>
      <c r="Q1446" s="786"/>
      <c r="R1446" s="99" t="s">
        <v>414</v>
      </c>
      <c r="S1446" s="99"/>
      <c r="T1446" s="99"/>
      <c r="U1446" s="99"/>
      <c r="V1446" s="27"/>
    </row>
    <row r="1447" spans="1:32" s="20" customFormat="1" ht="28.5" customHeight="1">
      <c r="A1447" s="732"/>
      <c r="B1447" s="787">
        <f>B1373</f>
        <v>2017</v>
      </c>
      <c r="C1447" s="788"/>
      <c r="D1447" s="788"/>
      <c r="E1447" s="789"/>
      <c r="F1447" s="99" t="s">
        <v>415</v>
      </c>
      <c r="G1447" s="99"/>
      <c r="H1447" s="99"/>
      <c r="I1447" s="99" t="s">
        <v>416</v>
      </c>
      <c r="J1447" s="99"/>
      <c r="K1447" s="99"/>
      <c r="L1447" s="99" t="s">
        <v>415</v>
      </c>
      <c r="M1447" s="99"/>
      <c r="N1447" s="99"/>
      <c r="O1447" s="790" t="s">
        <v>416</v>
      </c>
      <c r="P1447" s="790"/>
      <c r="Q1447" s="790"/>
      <c r="R1447" s="787">
        <f>R1373</f>
        <v>2017</v>
      </c>
      <c r="S1447" s="788"/>
      <c r="T1447" s="788"/>
      <c r="U1447" s="789"/>
      <c r="V1447" s="804"/>
      <c r="W1447" s="805"/>
      <c r="X1447" s="805"/>
      <c r="Y1447" s="208" t="s">
        <v>417</v>
      </c>
      <c r="Z1447" s="805"/>
      <c r="AA1447" s="805"/>
      <c r="AB1447" s="805"/>
      <c r="AC1447" s="712" t="s">
        <v>404</v>
      </c>
      <c r="AD1447" s="713"/>
      <c r="AE1447" s="713"/>
      <c r="AF1447" s="806"/>
    </row>
    <row r="1448" spans="1:32" s="20" customFormat="1" ht="43.5" customHeight="1">
      <c r="A1448" s="771" t="str">
        <f>C1442</f>
        <v>Barang-Barang Perpustakaan</v>
      </c>
      <c r="B1448" s="853">
        <f>'[1]4.NERACA'!D125</f>
        <v>0</v>
      </c>
      <c r="C1448" s="854"/>
      <c r="D1448" s="854"/>
      <c r="E1448" s="855"/>
      <c r="F1448" s="853">
        <f>'[1]4.NERACA'!E125</f>
        <v>0</v>
      </c>
      <c r="G1448" s="854"/>
      <c r="H1448" s="855"/>
      <c r="I1448" s="853">
        <f>'[1]4.NERACA'!F125</f>
        <v>0</v>
      </c>
      <c r="J1448" s="854"/>
      <c r="K1448" s="855"/>
      <c r="L1448" s="853">
        <f>'[1]4.NERACA'!G125</f>
        <v>0</v>
      </c>
      <c r="M1448" s="854"/>
      <c r="N1448" s="855"/>
      <c r="O1448" s="853">
        <f>'[1]4.NERACA'!H125</f>
        <v>0</v>
      </c>
      <c r="P1448" s="854"/>
      <c r="Q1448" s="855"/>
      <c r="R1448" s="853">
        <f>B1448+F1448-I1448+L1448-O1448</f>
        <v>0</v>
      </c>
      <c r="S1448" s="854"/>
      <c r="T1448" s="854"/>
      <c r="U1448" s="855"/>
      <c r="V1448" s="808"/>
      <c r="W1448" s="805"/>
      <c r="X1448" s="805"/>
      <c r="Y1448" s="208">
        <v>0</v>
      </c>
      <c r="Z1448" s="805"/>
      <c r="AA1448" s="805"/>
      <c r="AB1448" s="805"/>
      <c r="AC1448" s="451">
        <f>R1448-B1448</f>
        <v>0</v>
      </c>
      <c r="AD1448" s="452"/>
      <c r="AE1448" s="452"/>
      <c r="AF1448" s="453"/>
    </row>
    <row r="1449" spans="1:32" s="20" customFormat="1" ht="28.35" customHeight="1">
      <c r="A1449" s="782"/>
      <c r="B1449" s="772" t="s">
        <v>436</v>
      </c>
      <c r="C1449" s="772"/>
      <c r="D1449" s="772"/>
      <c r="E1449" s="772"/>
      <c r="F1449" s="772"/>
      <c r="G1449" s="772"/>
      <c r="H1449" s="772"/>
      <c r="I1449" s="772"/>
      <c r="J1449" s="772"/>
      <c r="K1449" s="772"/>
      <c r="L1449" s="772"/>
      <c r="M1449" s="772"/>
      <c r="N1449" s="772"/>
      <c r="O1449" s="772"/>
      <c r="P1449" s="772"/>
      <c r="Q1449" s="772"/>
      <c r="R1449" s="772"/>
      <c r="S1449" s="772"/>
      <c r="T1449" s="772"/>
      <c r="U1449" s="772"/>
      <c r="V1449" s="27"/>
    </row>
    <row r="1450" spans="1:32" s="20" customFormat="1" ht="28.35" customHeight="1">
      <c r="A1450" s="782"/>
      <c r="B1450" s="442"/>
      <c r="C1450" s="428" t="s">
        <v>428</v>
      </c>
      <c r="D1450" s="428"/>
      <c r="E1450" s="428"/>
      <c r="F1450" s="428"/>
      <c r="G1450" s="428"/>
      <c r="H1450" s="428"/>
      <c r="I1450" s="428"/>
      <c r="J1450" s="428"/>
      <c r="K1450" s="428"/>
      <c r="L1450" s="428"/>
      <c r="M1450" s="428"/>
      <c r="N1450" s="428"/>
      <c r="O1450" s="428"/>
      <c r="P1450" s="428"/>
      <c r="Q1450" s="428"/>
      <c r="R1450" s="428"/>
      <c r="S1450" s="428"/>
      <c r="T1450" s="428"/>
      <c r="U1450" s="428"/>
      <c r="V1450" s="27"/>
    </row>
    <row r="1451" spans="1:32" s="20" customFormat="1" ht="24" customHeight="1">
      <c r="A1451" s="782"/>
      <c r="B1451" s="442"/>
      <c r="C1451" s="354" t="str">
        <f>"Mutasi Debet sebesar Rp. "&amp;FIXED(F1448+L1448)&amp;"."</f>
        <v>Mutasi Debet sebesar Rp. 0.00.</v>
      </c>
      <c r="D1451" s="354"/>
      <c r="E1451" s="354"/>
      <c r="F1451" s="354"/>
      <c r="G1451" s="354"/>
      <c r="H1451" s="354"/>
      <c r="I1451" s="354"/>
      <c r="J1451" s="354"/>
      <c r="K1451" s="354"/>
      <c r="L1451" s="354"/>
      <c r="M1451" s="354"/>
      <c r="N1451" s="354"/>
      <c r="O1451" s="354"/>
      <c r="P1451" s="354"/>
      <c r="Q1451" s="354"/>
      <c r="R1451" s="354"/>
      <c r="S1451" s="354"/>
      <c r="T1451" s="354"/>
      <c r="U1451" s="354"/>
      <c r="V1451" s="27"/>
    </row>
    <row r="1452" spans="1:32" s="20" customFormat="1" ht="21.75" customHeight="1">
      <c r="A1452" s="782"/>
      <c r="B1452" s="442"/>
      <c r="C1452" s="428" t="s">
        <v>430</v>
      </c>
      <c r="D1452" s="428"/>
      <c r="E1452" s="428"/>
      <c r="F1452" s="428"/>
      <c r="G1452" s="428"/>
      <c r="H1452" s="428"/>
      <c r="I1452" s="428"/>
      <c r="J1452" s="428"/>
      <c r="K1452" s="428"/>
      <c r="L1452" s="428"/>
      <c r="M1452" s="428"/>
      <c r="N1452" s="428"/>
      <c r="O1452" s="428"/>
      <c r="P1452" s="428"/>
      <c r="Q1452" s="428"/>
      <c r="R1452" s="428"/>
      <c r="S1452" s="428"/>
      <c r="T1452" s="428"/>
      <c r="U1452" s="428"/>
      <c r="V1452" s="27"/>
    </row>
    <row r="1453" spans="1:32" s="20" customFormat="1" ht="28.35" customHeight="1">
      <c r="A1453" s="782"/>
      <c r="B1453" s="784"/>
      <c r="C1453" s="354" t="str">
        <f>"Mutasi Kredit Rp. "&amp;FIXED(I1448+O1448)&amp;" "</f>
        <v xml:space="preserve">Mutasi Kredit Rp. 0.00 </v>
      </c>
      <c r="D1453" s="354"/>
      <c r="E1453" s="354"/>
      <c r="F1453" s="354"/>
      <c r="G1453" s="354"/>
      <c r="H1453" s="354"/>
      <c r="I1453" s="354"/>
      <c r="J1453" s="354"/>
      <c r="K1453" s="354"/>
      <c r="L1453" s="354"/>
      <c r="M1453" s="354"/>
      <c r="N1453" s="354"/>
      <c r="O1453" s="354"/>
      <c r="P1453" s="354"/>
      <c r="Q1453" s="354"/>
      <c r="R1453" s="354"/>
      <c r="S1453" s="354"/>
      <c r="T1453" s="354"/>
      <c r="U1453" s="354"/>
      <c r="V1453" s="27"/>
    </row>
    <row r="1454" spans="1:32" s="20" customFormat="1" ht="12.75" customHeight="1">
      <c r="A1454" s="14"/>
      <c r="B1454" s="385"/>
      <c r="C1454" s="385"/>
      <c r="D1454" s="385"/>
      <c r="E1454" s="385"/>
      <c r="F1454" s="385"/>
      <c r="G1454" s="385"/>
      <c r="H1454" s="385"/>
      <c r="I1454" s="385"/>
      <c r="J1454" s="385"/>
      <c r="K1454" s="385"/>
      <c r="L1454" s="385"/>
      <c r="M1454" s="385"/>
      <c r="N1454" s="483"/>
      <c r="O1454" s="483"/>
      <c r="P1454" s="483"/>
      <c r="Q1454" s="483"/>
      <c r="R1454" s="483"/>
      <c r="S1454" s="483"/>
      <c r="T1454" s="483"/>
      <c r="U1454" s="483"/>
      <c r="V1454" s="27"/>
    </row>
    <row r="1455" spans="1:32" s="20" customFormat="1" ht="24" customHeight="1">
      <c r="A1455" s="14"/>
      <c r="B1455" s="774" t="s">
        <v>114</v>
      </c>
      <c r="C1455" s="775" t="str">
        <f>'[1]4.NERACA'!C127</f>
        <v>Barang Bercorak Kebudayaan</v>
      </c>
      <c r="D1455" s="775"/>
      <c r="E1455" s="775"/>
      <c r="F1455" s="775"/>
      <c r="G1455" s="775"/>
      <c r="H1455" s="775"/>
      <c r="I1455" s="775"/>
      <c r="J1455" s="775"/>
      <c r="K1455" s="775"/>
      <c r="L1455" s="775"/>
      <c r="M1455" s="775"/>
      <c r="N1455" s="775"/>
      <c r="O1455" s="775"/>
      <c r="P1455" s="775"/>
      <c r="Q1455" s="775"/>
      <c r="R1455" s="775"/>
      <c r="S1455" s="775"/>
      <c r="T1455" s="775"/>
      <c r="U1455" s="775"/>
      <c r="V1455" s="27"/>
    </row>
    <row r="1456" spans="1:32" s="20" customFormat="1" ht="62.25" customHeight="1">
      <c r="A1456" s="14"/>
      <c r="C1456" s="313" t="str">
        <f>"Nilai aset tetap berupa "&amp;C1455&amp;"  per "&amp;'[1]2.ISIAN DATA SKPD'!D8&amp;" dan  "&amp;'[1]2.ISIAN DATA SKPD'!D12&amp;" adalah sebesar Rp. "&amp;FIXED(R1461)&amp;" dan Rp. "&amp;FIXED(B1461)&amp;" tidak mengalami kenaikan/penurunan sebesar Rp. "&amp;FIXED(AC1461)&amp;" atau sebesar "&amp;FIXED(Y1461)&amp;"% dari tahun "&amp;'[1]2.ISIAN DATA SKPD'!D12&amp;"."</f>
        <v>Nilai aset tetap berupa Barang Bercorak Kebudayaan  per 31 Desember 2017 dan  2016 adalah sebesar Rp. 0.00 dan Rp. 0.00 tidak mengalami kenaikan/penurunan sebesar Rp. 0.00 atau sebesar 0.00% dari tahun 2016.</v>
      </c>
      <c r="D1456" s="313"/>
      <c r="E1456" s="313"/>
      <c r="F1456" s="313"/>
      <c r="G1456" s="313"/>
      <c r="H1456" s="313"/>
      <c r="I1456" s="313"/>
      <c r="J1456" s="313"/>
      <c r="K1456" s="313"/>
      <c r="L1456" s="313"/>
      <c r="M1456" s="313"/>
      <c r="N1456" s="313"/>
      <c r="O1456" s="313"/>
      <c r="P1456" s="313"/>
      <c r="Q1456" s="313"/>
      <c r="R1456" s="313"/>
      <c r="S1456" s="313"/>
      <c r="T1456" s="313"/>
      <c r="U1456" s="313"/>
      <c r="V1456" s="27"/>
    </row>
    <row r="1457" spans="1:32" s="20" customFormat="1" ht="21" customHeight="1">
      <c r="A1457" s="14"/>
      <c r="B1457" s="285"/>
      <c r="C1457" s="313" t="str">
        <f>"Dengan mutasi  selama tahun "&amp;'[1]2.ISIAN DATA SKPD'!D11&amp;" sebagai berikut :"</f>
        <v>Dengan mutasi  selama tahun 2017 sebagai berikut :</v>
      </c>
      <c r="D1457" s="313"/>
      <c r="E1457" s="313"/>
      <c r="F1457" s="313"/>
      <c r="G1457" s="313"/>
      <c r="H1457" s="313"/>
      <c r="I1457" s="313"/>
      <c r="J1457" s="313"/>
      <c r="K1457" s="313"/>
      <c r="L1457" s="313"/>
      <c r="M1457" s="313"/>
      <c r="N1457" s="313"/>
      <c r="O1457" s="313"/>
      <c r="P1457" s="313"/>
      <c r="Q1457" s="313"/>
      <c r="R1457" s="313"/>
      <c r="S1457" s="313"/>
      <c r="T1457" s="313"/>
      <c r="U1457" s="313"/>
      <c r="V1457" s="27"/>
    </row>
    <row r="1458" spans="1:32" s="20" customFormat="1" ht="15" customHeight="1">
      <c r="A1458" s="14"/>
      <c r="B1458" s="285"/>
      <c r="C1458" s="882"/>
      <c r="D1458" s="882"/>
      <c r="E1458" s="882"/>
      <c r="F1458" s="882"/>
      <c r="G1458" s="882"/>
      <c r="H1458" s="882"/>
      <c r="I1458" s="882"/>
      <c r="J1458" s="882"/>
      <c r="K1458" s="882"/>
      <c r="L1458" s="882"/>
      <c r="M1458" s="882"/>
      <c r="N1458" s="882"/>
      <c r="O1458" s="882"/>
      <c r="P1458" s="882"/>
      <c r="Q1458" s="882"/>
      <c r="R1458" s="882"/>
      <c r="S1458" s="882"/>
      <c r="T1458" s="882"/>
      <c r="U1458" s="882"/>
      <c r="V1458" s="27"/>
    </row>
    <row r="1459" spans="1:32" s="20" customFormat="1" ht="15" customHeight="1">
      <c r="A1459" s="726" t="s">
        <v>84</v>
      </c>
      <c r="B1459" s="727" t="s">
        <v>411</v>
      </c>
      <c r="C1459" s="728"/>
      <c r="D1459" s="728"/>
      <c r="E1459" s="729"/>
      <c r="F1459" s="730" t="s">
        <v>412</v>
      </c>
      <c r="G1459" s="730"/>
      <c r="H1459" s="730"/>
      <c r="I1459" s="730"/>
      <c r="J1459" s="730"/>
      <c r="K1459" s="730"/>
      <c r="L1459" s="730" t="s">
        <v>413</v>
      </c>
      <c r="M1459" s="730"/>
      <c r="N1459" s="730"/>
      <c r="O1459" s="730"/>
      <c r="P1459" s="730"/>
      <c r="Q1459" s="730"/>
      <c r="R1459" s="731" t="s">
        <v>414</v>
      </c>
      <c r="S1459" s="731"/>
      <c r="T1459" s="731"/>
      <c r="U1459" s="731"/>
      <c r="V1459" s="27"/>
    </row>
    <row r="1460" spans="1:32" s="20" customFormat="1" ht="21.75" customHeight="1">
      <c r="A1460" s="732"/>
      <c r="B1460" s="733">
        <f>B1373</f>
        <v>2017</v>
      </c>
      <c r="C1460" s="734"/>
      <c r="D1460" s="734"/>
      <c r="E1460" s="735"/>
      <c r="F1460" s="731" t="s">
        <v>415</v>
      </c>
      <c r="G1460" s="731"/>
      <c r="H1460" s="731"/>
      <c r="I1460" s="731" t="s">
        <v>416</v>
      </c>
      <c r="J1460" s="731"/>
      <c r="K1460" s="731"/>
      <c r="L1460" s="731" t="s">
        <v>415</v>
      </c>
      <c r="M1460" s="731"/>
      <c r="N1460" s="731"/>
      <c r="O1460" s="736" t="s">
        <v>416</v>
      </c>
      <c r="P1460" s="736"/>
      <c r="Q1460" s="736"/>
      <c r="R1460" s="787">
        <f>R1373</f>
        <v>2017</v>
      </c>
      <c r="S1460" s="788"/>
      <c r="T1460" s="788"/>
      <c r="U1460" s="789"/>
      <c r="V1460" s="804"/>
      <c r="W1460" s="805"/>
      <c r="X1460" s="805"/>
      <c r="Y1460" s="208" t="s">
        <v>417</v>
      </c>
      <c r="Z1460" s="805"/>
      <c r="AA1460" s="805"/>
      <c r="AB1460" s="805"/>
      <c r="AC1460" s="712" t="s">
        <v>404</v>
      </c>
      <c r="AD1460" s="713"/>
      <c r="AE1460" s="713"/>
      <c r="AF1460" s="806"/>
    </row>
    <row r="1461" spans="1:32" s="20" customFormat="1" ht="48.75" customHeight="1">
      <c r="A1461" s="771" t="str">
        <f>C1455</f>
        <v>Barang Bercorak Kebudayaan</v>
      </c>
      <c r="B1461" s="853">
        <f>'[1]4.NERACA'!D126</f>
        <v>0</v>
      </c>
      <c r="C1461" s="854"/>
      <c r="D1461" s="854"/>
      <c r="E1461" s="855"/>
      <c r="F1461" s="853">
        <f>'[1]4.NERACA'!E126</f>
        <v>0</v>
      </c>
      <c r="G1461" s="854"/>
      <c r="H1461" s="855"/>
      <c r="I1461" s="853">
        <f>'[1]4.NERACA'!F126</f>
        <v>0</v>
      </c>
      <c r="J1461" s="854"/>
      <c r="K1461" s="855"/>
      <c r="L1461" s="853">
        <f>'[1]4.NERACA'!G126</f>
        <v>0</v>
      </c>
      <c r="M1461" s="854"/>
      <c r="N1461" s="855"/>
      <c r="O1461" s="853">
        <f>'[1]4.NERACA'!H126</f>
        <v>0</v>
      </c>
      <c r="P1461" s="854"/>
      <c r="Q1461" s="855"/>
      <c r="R1461" s="853">
        <f>B1461+F1461-I1461+L1461-O1461</f>
        <v>0</v>
      </c>
      <c r="S1461" s="854"/>
      <c r="T1461" s="854"/>
      <c r="U1461" s="855"/>
      <c r="V1461" s="808"/>
      <c r="W1461" s="805"/>
      <c r="X1461" s="805"/>
      <c r="Y1461" s="208">
        <v>0</v>
      </c>
      <c r="Z1461" s="805"/>
      <c r="AA1461" s="805"/>
      <c r="AB1461" s="805"/>
      <c r="AC1461" s="451">
        <f>R1461-B1461</f>
        <v>0</v>
      </c>
      <c r="AD1461" s="452"/>
      <c r="AE1461" s="452"/>
      <c r="AF1461" s="453"/>
    </row>
    <row r="1462" spans="1:32" s="20" customFormat="1" ht="20.25" customHeight="1">
      <c r="A1462" s="782"/>
      <c r="B1462" s="772" t="s">
        <v>436</v>
      </c>
      <c r="C1462" s="772"/>
      <c r="D1462" s="772"/>
      <c r="E1462" s="772"/>
      <c r="F1462" s="772"/>
      <c r="G1462" s="772"/>
      <c r="H1462" s="772"/>
      <c r="I1462" s="772"/>
      <c r="J1462" s="772"/>
      <c r="K1462" s="772"/>
      <c r="L1462" s="772"/>
      <c r="M1462" s="772"/>
      <c r="N1462" s="772"/>
      <c r="O1462" s="772"/>
      <c r="P1462" s="772"/>
      <c r="Q1462" s="772"/>
      <c r="R1462" s="772"/>
      <c r="S1462" s="772"/>
      <c r="T1462" s="772"/>
      <c r="U1462" s="772"/>
      <c r="V1462" s="27"/>
    </row>
    <row r="1463" spans="1:32" s="20" customFormat="1" ht="22.5" customHeight="1">
      <c r="A1463" s="782"/>
      <c r="B1463" s="442"/>
      <c r="C1463" s="428" t="s">
        <v>428</v>
      </c>
      <c r="D1463" s="428"/>
      <c r="E1463" s="428"/>
      <c r="F1463" s="428"/>
      <c r="G1463" s="428"/>
      <c r="H1463" s="428"/>
      <c r="I1463" s="428"/>
      <c r="J1463" s="428"/>
      <c r="K1463" s="428"/>
      <c r="L1463" s="428"/>
      <c r="M1463" s="428"/>
      <c r="N1463" s="428"/>
      <c r="O1463" s="428"/>
      <c r="P1463" s="428"/>
      <c r="Q1463" s="428"/>
      <c r="R1463" s="428"/>
      <c r="S1463" s="428"/>
      <c r="T1463" s="428"/>
      <c r="U1463" s="428"/>
      <c r="V1463" s="27"/>
    </row>
    <row r="1464" spans="1:32" s="20" customFormat="1" ht="18.75" customHeight="1">
      <c r="A1464" s="782"/>
      <c r="B1464" s="442"/>
      <c r="C1464" s="354" t="str">
        <f>"Mutasi Debet sebesar Rp. "&amp;FIXED(F1461+L1461)&amp;" "</f>
        <v xml:space="preserve">Mutasi Debet sebesar Rp. 0.00 </v>
      </c>
      <c r="D1464" s="354"/>
      <c r="E1464" s="354"/>
      <c r="F1464" s="354"/>
      <c r="G1464" s="354"/>
      <c r="H1464" s="354"/>
      <c r="I1464" s="354"/>
      <c r="J1464" s="354"/>
      <c r="K1464" s="354"/>
      <c r="L1464" s="354"/>
      <c r="M1464" s="354"/>
      <c r="N1464" s="354"/>
      <c r="O1464" s="354"/>
      <c r="P1464" s="354"/>
      <c r="Q1464" s="354"/>
      <c r="R1464" s="354"/>
      <c r="S1464" s="354"/>
      <c r="T1464" s="354"/>
      <c r="U1464" s="354"/>
      <c r="V1464" s="27"/>
    </row>
    <row r="1465" spans="1:32" s="20" customFormat="1" ht="18.75" customHeight="1">
      <c r="A1465" s="782"/>
      <c r="B1465" s="442"/>
      <c r="C1465" s="428" t="s">
        <v>430</v>
      </c>
      <c r="D1465" s="428"/>
      <c r="E1465" s="428"/>
      <c r="F1465" s="428"/>
      <c r="G1465" s="428"/>
      <c r="H1465" s="428"/>
      <c r="I1465" s="428"/>
      <c r="J1465" s="428"/>
      <c r="K1465" s="428"/>
      <c r="L1465" s="428"/>
      <c r="M1465" s="428"/>
      <c r="N1465" s="428"/>
      <c r="O1465" s="428"/>
      <c r="P1465" s="428"/>
      <c r="Q1465" s="428"/>
      <c r="R1465" s="428"/>
      <c r="S1465" s="428"/>
      <c r="T1465" s="428"/>
      <c r="U1465" s="428"/>
      <c r="V1465" s="27"/>
    </row>
    <row r="1466" spans="1:32" s="20" customFormat="1" ht="15" customHeight="1">
      <c r="A1466" s="782"/>
      <c r="B1466" s="784"/>
      <c r="C1466" s="354" t="str">
        <f>"Mutasi Kredit Rp. "&amp;FIXED(I1461+O1461)&amp;""</f>
        <v>Mutasi Kredit Rp. 0.00</v>
      </c>
      <c r="D1466" s="354"/>
      <c r="E1466" s="354"/>
      <c r="F1466" s="354"/>
      <c r="G1466" s="354"/>
      <c r="H1466" s="354"/>
      <c r="I1466" s="354"/>
      <c r="J1466" s="354"/>
      <c r="K1466" s="354"/>
      <c r="L1466" s="354"/>
      <c r="M1466" s="354"/>
      <c r="N1466" s="354"/>
      <c r="O1466" s="354"/>
      <c r="P1466" s="354"/>
      <c r="Q1466" s="354"/>
      <c r="R1466" s="354"/>
      <c r="S1466" s="354"/>
      <c r="T1466" s="354"/>
      <c r="U1466" s="354"/>
      <c r="V1466" s="27"/>
    </row>
    <row r="1467" spans="1:32" s="20" customFormat="1" ht="20.25" customHeight="1">
      <c r="A1467" s="14"/>
      <c r="B1467" s="385"/>
      <c r="C1467" s="385"/>
      <c r="D1467" s="385"/>
      <c r="E1467" s="385"/>
      <c r="F1467" s="385"/>
      <c r="G1467" s="385"/>
      <c r="H1467" s="385"/>
      <c r="I1467" s="385"/>
      <c r="J1467" s="385"/>
      <c r="K1467" s="385"/>
      <c r="L1467" s="385"/>
      <c r="M1467" s="385"/>
      <c r="N1467" s="483"/>
      <c r="O1467" s="483"/>
      <c r="P1467" s="483"/>
      <c r="Q1467" s="483"/>
      <c r="R1467" s="483"/>
      <c r="S1467" s="483"/>
      <c r="T1467" s="483"/>
      <c r="U1467" s="483"/>
      <c r="V1467" s="27"/>
    </row>
    <row r="1468" spans="1:32" s="20" customFormat="1" ht="18.75" customHeight="1">
      <c r="A1468" s="14"/>
      <c r="B1468" s="774" t="s">
        <v>115</v>
      </c>
      <c r="C1468" s="775" t="str">
        <f>'[1]4.NERACA'!C128</f>
        <v>Alat Olah Raga Lainnya</v>
      </c>
      <c r="D1468" s="775"/>
      <c r="E1468" s="775"/>
      <c r="F1468" s="775"/>
      <c r="G1468" s="775"/>
      <c r="H1468" s="775"/>
      <c r="I1468" s="775"/>
      <c r="J1468" s="775"/>
      <c r="K1468" s="775"/>
      <c r="L1468" s="775"/>
      <c r="M1468" s="775"/>
      <c r="N1468" s="775"/>
      <c r="O1468" s="775"/>
      <c r="P1468" s="775"/>
      <c r="Q1468" s="775"/>
      <c r="R1468" s="775"/>
      <c r="S1468" s="775"/>
      <c r="T1468" s="775"/>
      <c r="U1468" s="775"/>
      <c r="V1468" s="27"/>
    </row>
    <row r="1469" spans="1:32" s="20" customFormat="1" ht="71.25" customHeight="1">
      <c r="A1469" s="14"/>
      <c r="C1469" s="313" t="str">
        <f>"Nilai aset tetap berupa "&amp;C1468&amp;"  per "&amp;'[1]2.ISIAN DATA SKPD'!D8&amp;" dan  "&amp;'[1]2.ISIAN DATA SKPD'!D12&amp;" adalah sebesar Rp. "&amp;FIXED(R1474)&amp;" dan Rp. "&amp;FIXED(B1474)&amp;" tidak mengalami kenaikan/penurunan sebesar Rp. "&amp;FIXED(AC1474)&amp;" atau sebesar "&amp;FIXED(Y1474)&amp;"% dari tahun "&amp;'[1]2.ISIAN DATA SKPD'!D12&amp;"."</f>
        <v>Nilai aset tetap berupa Alat Olah Raga Lainnya  per 31 Desember 2017 dan  2016 adalah sebesar Rp. 0.00 dan Rp. 0.00 tidak mengalami kenaikan/penurunan sebesar Rp. 0.00 atau sebesar 0.00% dari tahun 2016.</v>
      </c>
      <c r="D1469" s="313"/>
      <c r="E1469" s="313"/>
      <c r="F1469" s="313"/>
      <c r="G1469" s="313"/>
      <c r="H1469" s="313"/>
      <c r="I1469" s="313"/>
      <c r="J1469" s="313"/>
      <c r="K1469" s="313"/>
      <c r="L1469" s="313"/>
      <c r="M1469" s="313"/>
      <c r="N1469" s="313"/>
      <c r="O1469" s="313"/>
      <c r="P1469" s="313"/>
      <c r="Q1469" s="313"/>
      <c r="R1469" s="313"/>
      <c r="S1469" s="313"/>
      <c r="T1469" s="313"/>
      <c r="U1469" s="313"/>
      <c r="V1469" s="27"/>
    </row>
    <row r="1470" spans="1:32" s="20" customFormat="1" ht="15" customHeight="1">
      <c r="A1470" s="14"/>
      <c r="B1470" s="285"/>
      <c r="C1470" s="313" t="str">
        <f>"Dengan mutasi  selama tahun "&amp;'[1]2.ISIAN DATA SKPD'!D11&amp;" sebagai berikut :"</f>
        <v>Dengan mutasi  selama tahun 2017 sebagai berikut :</v>
      </c>
      <c r="D1470" s="313"/>
      <c r="E1470" s="313"/>
      <c r="F1470" s="313"/>
      <c r="G1470" s="313"/>
      <c r="H1470" s="313"/>
      <c r="I1470" s="313"/>
      <c r="J1470" s="313"/>
      <c r="K1470" s="313"/>
      <c r="L1470" s="313"/>
      <c r="M1470" s="313"/>
      <c r="N1470" s="313"/>
      <c r="O1470" s="313"/>
      <c r="P1470" s="313"/>
      <c r="Q1470" s="313"/>
      <c r="R1470" s="313"/>
      <c r="S1470" s="313"/>
      <c r="T1470" s="313"/>
      <c r="U1470" s="313"/>
      <c r="V1470" s="27"/>
    </row>
    <row r="1471" spans="1:32" s="20" customFormat="1" ht="24" customHeight="1">
      <c r="A1471" s="14"/>
      <c r="B1471" s="285"/>
      <c r="C1471" s="882"/>
      <c r="D1471" s="882"/>
      <c r="E1471" s="882"/>
      <c r="F1471" s="882"/>
      <c r="G1471" s="882"/>
      <c r="H1471" s="882"/>
      <c r="I1471" s="882"/>
      <c r="J1471" s="882"/>
      <c r="K1471" s="882"/>
      <c r="L1471" s="882"/>
      <c r="M1471" s="882"/>
      <c r="N1471" s="882"/>
      <c r="O1471" s="882"/>
      <c r="P1471" s="882"/>
      <c r="Q1471" s="882"/>
      <c r="R1471" s="882"/>
      <c r="S1471" s="882"/>
      <c r="T1471" s="882"/>
      <c r="U1471" s="882"/>
      <c r="V1471" s="27"/>
    </row>
    <row r="1472" spans="1:32" s="20" customFormat="1" ht="31.5" customHeight="1">
      <c r="A1472" s="726" t="s">
        <v>84</v>
      </c>
      <c r="B1472" s="727" t="s">
        <v>411</v>
      </c>
      <c r="C1472" s="728"/>
      <c r="D1472" s="728"/>
      <c r="E1472" s="729"/>
      <c r="F1472" s="730" t="s">
        <v>412</v>
      </c>
      <c r="G1472" s="730"/>
      <c r="H1472" s="730"/>
      <c r="I1472" s="730"/>
      <c r="J1472" s="730"/>
      <c r="K1472" s="730"/>
      <c r="L1472" s="730" t="s">
        <v>413</v>
      </c>
      <c r="M1472" s="730"/>
      <c r="N1472" s="730"/>
      <c r="O1472" s="730"/>
      <c r="P1472" s="730"/>
      <c r="Q1472" s="730"/>
      <c r="R1472" s="731" t="s">
        <v>414</v>
      </c>
      <c r="S1472" s="731"/>
      <c r="T1472" s="731"/>
      <c r="U1472" s="731"/>
      <c r="V1472" s="27"/>
    </row>
    <row r="1473" spans="1:32" s="20" customFormat="1" ht="24" customHeight="1">
      <c r="A1473" s="732"/>
      <c r="B1473" s="733">
        <f>B1460</f>
        <v>2017</v>
      </c>
      <c r="C1473" s="734"/>
      <c r="D1473" s="734"/>
      <c r="E1473" s="735"/>
      <c r="F1473" s="731" t="s">
        <v>415</v>
      </c>
      <c r="G1473" s="731"/>
      <c r="H1473" s="731"/>
      <c r="I1473" s="731" t="s">
        <v>416</v>
      </c>
      <c r="J1473" s="731"/>
      <c r="K1473" s="731"/>
      <c r="L1473" s="731" t="s">
        <v>415</v>
      </c>
      <c r="M1473" s="731"/>
      <c r="N1473" s="731"/>
      <c r="O1473" s="736" t="s">
        <v>416</v>
      </c>
      <c r="P1473" s="736"/>
      <c r="Q1473" s="736"/>
      <c r="R1473" s="787">
        <f>R1460</f>
        <v>2017</v>
      </c>
      <c r="S1473" s="788"/>
      <c r="T1473" s="788"/>
      <c r="U1473" s="789"/>
      <c r="V1473" s="804"/>
      <c r="W1473" s="805"/>
      <c r="X1473" s="805"/>
      <c r="Y1473" s="208" t="s">
        <v>417</v>
      </c>
      <c r="Z1473" s="805"/>
      <c r="AA1473" s="805"/>
      <c r="AB1473" s="805"/>
      <c r="AC1473" s="712" t="s">
        <v>404</v>
      </c>
      <c r="AD1473" s="713"/>
      <c r="AE1473" s="713"/>
      <c r="AF1473" s="806"/>
    </row>
    <row r="1474" spans="1:32" s="20" customFormat="1" ht="39" customHeight="1">
      <c r="A1474" s="771" t="str">
        <f>C1468</f>
        <v>Alat Olah Raga Lainnya</v>
      </c>
      <c r="B1474" s="906">
        <f>'[1]4.NERACA'!D127</f>
        <v>0</v>
      </c>
      <c r="C1474" s="907"/>
      <c r="D1474" s="907"/>
      <c r="E1474" s="908"/>
      <c r="F1474" s="906">
        <f>'[1]4.NERACA'!E127</f>
        <v>0</v>
      </c>
      <c r="G1474" s="907"/>
      <c r="H1474" s="908"/>
      <c r="I1474" s="906">
        <f>'[1]4.NERACA'!F127</f>
        <v>0</v>
      </c>
      <c r="J1474" s="907"/>
      <c r="K1474" s="908"/>
      <c r="L1474" s="906">
        <f>'[1]4.NERACA'!G127</f>
        <v>0</v>
      </c>
      <c r="M1474" s="907"/>
      <c r="N1474" s="908"/>
      <c r="O1474" s="906">
        <f>'[1]4.NERACA'!H127</f>
        <v>0</v>
      </c>
      <c r="P1474" s="907"/>
      <c r="Q1474" s="908"/>
      <c r="R1474" s="906">
        <f>B1474+F1474-I1474+L1474-O1474</f>
        <v>0</v>
      </c>
      <c r="S1474" s="907"/>
      <c r="T1474" s="907"/>
      <c r="U1474" s="908"/>
      <c r="V1474" s="808"/>
      <c r="W1474" s="805"/>
      <c r="X1474" s="805"/>
      <c r="Y1474" s="208">
        <v>0</v>
      </c>
      <c r="Z1474" s="805"/>
      <c r="AA1474" s="805"/>
      <c r="AB1474" s="805"/>
      <c r="AC1474" s="451">
        <f>R1474-B1474</f>
        <v>0</v>
      </c>
      <c r="AD1474" s="452"/>
      <c r="AE1474" s="452"/>
      <c r="AF1474" s="453"/>
    </row>
    <row r="1475" spans="1:32" s="20" customFormat="1" ht="18" customHeight="1">
      <c r="A1475" s="782"/>
      <c r="B1475" s="772" t="s">
        <v>436</v>
      </c>
      <c r="C1475" s="772"/>
      <c r="D1475" s="772"/>
      <c r="E1475" s="772"/>
      <c r="F1475" s="772"/>
      <c r="G1475" s="772"/>
      <c r="H1475" s="772"/>
      <c r="I1475" s="772"/>
      <c r="J1475" s="772"/>
      <c r="K1475" s="772"/>
      <c r="L1475" s="772"/>
      <c r="M1475" s="772"/>
      <c r="N1475" s="772"/>
      <c r="O1475" s="772"/>
      <c r="P1475" s="772"/>
      <c r="Q1475" s="772"/>
      <c r="R1475" s="772"/>
      <c r="S1475" s="772"/>
      <c r="T1475" s="772"/>
      <c r="U1475" s="772"/>
      <c r="V1475" s="27"/>
    </row>
    <row r="1476" spans="1:32" s="20" customFormat="1" ht="24" customHeight="1">
      <c r="A1476" s="782"/>
      <c r="B1476" s="442"/>
      <c r="C1476" s="428" t="s">
        <v>428</v>
      </c>
      <c r="D1476" s="428"/>
      <c r="E1476" s="428"/>
      <c r="F1476" s="428"/>
      <c r="G1476" s="428"/>
      <c r="H1476" s="428"/>
      <c r="I1476" s="428"/>
      <c r="J1476" s="428"/>
      <c r="K1476" s="428"/>
      <c r="L1476" s="428"/>
      <c r="M1476" s="428"/>
      <c r="N1476" s="428"/>
      <c r="O1476" s="428"/>
      <c r="P1476" s="428"/>
      <c r="Q1476" s="428"/>
      <c r="R1476" s="428"/>
      <c r="S1476" s="428"/>
      <c r="T1476" s="428"/>
      <c r="U1476" s="428"/>
      <c r="V1476" s="27"/>
    </row>
    <row r="1477" spans="1:32" s="20" customFormat="1" ht="15.75" customHeight="1">
      <c r="A1477" s="782"/>
      <c r="B1477" s="442"/>
      <c r="C1477" s="354" t="str">
        <f>"Mutasi Debet sebesar Rp. "&amp;FIXED(F1474+L1474)&amp;" "</f>
        <v xml:space="preserve">Mutasi Debet sebesar Rp. 0.00 </v>
      </c>
      <c r="D1477" s="354"/>
      <c r="E1477" s="354"/>
      <c r="F1477" s="354"/>
      <c r="G1477" s="354"/>
      <c r="H1477" s="354"/>
      <c r="I1477" s="354"/>
      <c r="J1477" s="354"/>
      <c r="K1477" s="354"/>
      <c r="L1477" s="354"/>
      <c r="M1477" s="354"/>
      <c r="N1477" s="354"/>
      <c r="O1477" s="354"/>
      <c r="P1477" s="354"/>
      <c r="Q1477" s="354"/>
      <c r="R1477" s="354"/>
      <c r="S1477" s="354"/>
      <c r="T1477" s="354"/>
      <c r="U1477" s="354"/>
      <c r="V1477" s="27"/>
    </row>
    <row r="1478" spans="1:32" s="20" customFormat="1" ht="19.5" customHeight="1">
      <c r="A1478" s="782"/>
      <c r="B1478" s="442"/>
      <c r="C1478" s="428" t="s">
        <v>430</v>
      </c>
      <c r="D1478" s="428"/>
      <c r="E1478" s="428"/>
      <c r="F1478" s="428"/>
      <c r="G1478" s="428"/>
      <c r="H1478" s="428"/>
      <c r="I1478" s="428"/>
      <c r="J1478" s="428"/>
      <c r="K1478" s="428"/>
      <c r="L1478" s="428"/>
      <c r="M1478" s="428"/>
      <c r="N1478" s="428"/>
      <c r="O1478" s="428"/>
      <c r="P1478" s="428"/>
      <c r="Q1478" s="428"/>
      <c r="R1478" s="428"/>
      <c r="S1478" s="428"/>
      <c r="T1478" s="428"/>
      <c r="U1478" s="428"/>
      <c r="V1478" s="27"/>
    </row>
    <row r="1479" spans="1:32" s="20" customFormat="1" ht="15" customHeight="1">
      <c r="A1479" s="782"/>
      <c r="B1479" s="784"/>
      <c r="C1479" s="354" t="str">
        <f>"Mutasi Kredit Rp. "&amp;FIXED(I1474+O1474)&amp;" "</f>
        <v xml:space="preserve">Mutasi Kredit Rp. 0.00 </v>
      </c>
      <c r="D1479" s="354"/>
      <c r="E1479" s="354"/>
      <c r="F1479" s="354"/>
      <c r="G1479" s="354"/>
      <c r="H1479" s="354"/>
      <c r="I1479" s="354"/>
      <c r="J1479" s="354"/>
      <c r="K1479" s="354"/>
      <c r="L1479" s="354"/>
      <c r="M1479" s="354"/>
      <c r="N1479" s="354"/>
      <c r="O1479" s="354"/>
      <c r="P1479" s="354"/>
      <c r="Q1479" s="354"/>
      <c r="R1479" s="354"/>
      <c r="S1479" s="354"/>
      <c r="T1479" s="354"/>
      <c r="U1479" s="354"/>
      <c r="V1479" s="27"/>
    </row>
    <row r="1480" spans="1:32" s="20" customFormat="1" ht="12" customHeight="1">
      <c r="A1480" s="14"/>
      <c r="B1480" s="385"/>
      <c r="C1480" s="385"/>
      <c r="D1480" s="385"/>
      <c r="E1480" s="385"/>
      <c r="F1480" s="385"/>
      <c r="G1480" s="385"/>
      <c r="H1480" s="385"/>
      <c r="I1480" s="385"/>
      <c r="J1480" s="385"/>
      <c r="K1480" s="385"/>
      <c r="L1480" s="385"/>
      <c r="M1480" s="385"/>
      <c r="N1480" s="483"/>
      <c r="O1480" s="483"/>
      <c r="P1480" s="483"/>
      <c r="Q1480" s="483"/>
      <c r="R1480" s="483"/>
      <c r="S1480" s="483"/>
      <c r="T1480" s="483"/>
      <c r="U1480" s="483"/>
      <c r="V1480" s="27"/>
    </row>
    <row r="1481" spans="1:32" s="20" customFormat="1" ht="19.5" customHeight="1">
      <c r="A1481" s="14"/>
      <c r="B1481" s="774" t="s">
        <v>284</v>
      </c>
      <c r="C1481" s="775" t="str">
        <f>'[1]4.NERACA'!C129</f>
        <v>Hewan</v>
      </c>
      <c r="D1481" s="775"/>
      <c r="E1481" s="775"/>
      <c r="F1481" s="775"/>
      <c r="G1481" s="775"/>
      <c r="H1481" s="775"/>
      <c r="I1481" s="775"/>
      <c r="J1481" s="775"/>
      <c r="K1481" s="775"/>
      <c r="L1481" s="775"/>
      <c r="M1481" s="775"/>
      <c r="N1481" s="775"/>
      <c r="O1481" s="775"/>
      <c r="P1481" s="775"/>
      <c r="Q1481" s="775"/>
      <c r="R1481" s="775"/>
      <c r="S1481" s="775"/>
      <c r="T1481" s="775"/>
      <c r="U1481" s="775"/>
      <c r="V1481" s="27"/>
    </row>
    <row r="1482" spans="1:32" s="20" customFormat="1" ht="66" customHeight="1">
      <c r="A1482" s="14"/>
      <c r="C1482" s="313" t="str">
        <f>"Nilai aset tetap berupa "&amp;C1481&amp;"  per "&amp;'[1]2.ISIAN DATA SKPD'!D8&amp;" dan  "&amp;'[1]2.ISIAN DATA SKPD'!D12&amp;" adalah sebesar Rp. "&amp;FIXED(R1487)&amp;" dan Rp. "&amp;FIXED(B1487)&amp;" tidak mengalami kenaikan/penurunan sebesar Rp "&amp;FIXED(AC1487)&amp;" atau sebesar "&amp;FIXED(Y1487)&amp;"% dari tahun "&amp;'[1]2.ISIAN DATA SKPD'!D12&amp;"."</f>
        <v>Nilai aset tetap berupa Hewan  per 31 Desember 2017 dan  2016 adalah sebesar Rp. 0.00 dan Rp. 0.00 tidak mengalami kenaikan/penurunan sebesar Rp 0.00 atau sebesar 0.00% dari tahun 2016.</v>
      </c>
      <c r="D1482" s="313"/>
      <c r="E1482" s="313"/>
      <c r="F1482" s="313"/>
      <c r="G1482" s="313"/>
      <c r="H1482" s="313"/>
      <c r="I1482" s="313"/>
      <c r="J1482" s="313"/>
      <c r="K1482" s="313"/>
      <c r="L1482" s="313"/>
      <c r="M1482" s="313"/>
      <c r="N1482" s="313"/>
      <c r="O1482" s="313"/>
      <c r="P1482" s="313"/>
      <c r="Q1482" s="313"/>
      <c r="R1482" s="313"/>
      <c r="S1482" s="313"/>
      <c r="T1482" s="313"/>
      <c r="U1482" s="313"/>
      <c r="V1482" s="27"/>
    </row>
    <row r="1483" spans="1:32" s="20" customFormat="1" ht="24" customHeight="1">
      <c r="A1483" s="14"/>
      <c r="B1483" s="285"/>
      <c r="C1483" s="313" t="str">
        <f>"Dengan mutasi  selama tahun "&amp;'[1]2.ISIAN DATA SKPD'!D11&amp;" sebagai berikut :"</f>
        <v>Dengan mutasi  selama tahun 2017 sebagai berikut :</v>
      </c>
      <c r="D1483" s="313"/>
      <c r="E1483" s="313"/>
      <c r="F1483" s="313"/>
      <c r="G1483" s="313"/>
      <c r="H1483" s="313"/>
      <c r="I1483" s="313"/>
      <c r="J1483" s="313"/>
      <c r="K1483" s="313"/>
      <c r="L1483" s="313"/>
      <c r="M1483" s="313"/>
      <c r="N1483" s="313"/>
      <c r="O1483" s="313"/>
      <c r="P1483" s="313"/>
      <c r="Q1483" s="313"/>
      <c r="R1483" s="313"/>
      <c r="S1483" s="313"/>
      <c r="T1483" s="313"/>
      <c r="U1483" s="313"/>
      <c r="V1483" s="27"/>
    </row>
    <row r="1484" spans="1:32" s="20" customFormat="1" ht="11.25" customHeight="1">
      <c r="A1484" s="14"/>
      <c r="B1484" s="285"/>
      <c r="C1484" s="882"/>
      <c r="D1484" s="882"/>
      <c r="E1484" s="882"/>
      <c r="F1484" s="882"/>
      <c r="G1484" s="882"/>
      <c r="H1484" s="882"/>
      <c r="I1484" s="882"/>
      <c r="J1484" s="882"/>
      <c r="K1484" s="882"/>
      <c r="L1484" s="882"/>
      <c r="M1484" s="882"/>
      <c r="N1484" s="882"/>
      <c r="O1484" s="882"/>
      <c r="P1484" s="882"/>
      <c r="Q1484" s="882"/>
      <c r="R1484" s="882"/>
      <c r="S1484" s="882"/>
      <c r="T1484" s="882"/>
      <c r="U1484" s="882"/>
      <c r="V1484" s="27"/>
    </row>
    <row r="1485" spans="1:32" s="20" customFormat="1" ht="15" customHeight="1">
      <c r="A1485" s="726" t="s">
        <v>84</v>
      </c>
      <c r="B1485" s="727" t="s">
        <v>411</v>
      </c>
      <c r="C1485" s="728"/>
      <c r="D1485" s="728"/>
      <c r="E1485" s="729"/>
      <c r="F1485" s="730" t="s">
        <v>412</v>
      </c>
      <c r="G1485" s="730"/>
      <c r="H1485" s="730"/>
      <c r="I1485" s="730"/>
      <c r="J1485" s="730"/>
      <c r="K1485" s="730"/>
      <c r="L1485" s="730" t="s">
        <v>413</v>
      </c>
      <c r="M1485" s="730"/>
      <c r="N1485" s="730"/>
      <c r="O1485" s="730"/>
      <c r="P1485" s="730"/>
      <c r="Q1485" s="730"/>
      <c r="R1485" s="731" t="s">
        <v>414</v>
      </c>
      <c r="S1485" s="731"/>
      <c r="T1485" s="731"/>
      <c r="U1485" s="731"/>
      <c r="V1485" s="27"/>
    </row>
    <row r="1486" spans="1:32" s="20" customFormat="1" ht="11.25" customHeight="1">
      <c r="A1486" s="732"/>
      <c r="B1486" s="787">
        <f>B1373</f>
        <v>2017</v>
      </c>
      <c r="C1486" s="788"/>
      <c r="D1486" s="788"/>
      <c r="E1486" s="789"/>
      <c r="F1486" s="731" t="s">
        <v>415</v>
      </c>
      <c r="G1486" s="731"/>
      <c r="H1486" s="731"/>
      <c r="I1486" s="731" t="s">
        <v>416</v>
      </c>
      <c r="J1486" s="731"/>
      <c r="K1486" s="731"/>
      <c r="L1486" s="731" t="s">
        <v>415</v>
      </c>
      <c r="M1486" s="731"/>
      <c r="N1486" s="731"/>
      <c r="O1486" s="736" t="s">
        <v>416</v>
      </c>
      <c r="P1486" s="736"/>
      <c r="Q1486" s="736"/>
      <c r="R1486" s="787">
        <f>R1373</f>
        <v>2017</v>
      </c>
      <c r="S1486" s="788"/>
      <c r="T1486" s="788"/>
      <c r="U1486" s="789"/>
      <c r="V1486" s="804"/>
      <c r="W1486" s="805"/>
      <c r="X1486" s="805"/>
      <c r="Y1486" s="208" t="s">
        <v>417</v>
      </c>
      <c r="Z1486" s="805"/>
      <c r="AA1486" s="805"/>
      <c r="AB1486" s="805"/>
      <c r="AC1486" s="712" t="s">
        <v>404</v>
      </c>
      <c r="AD1486" s="713"/>
      <c r="AE1486" s="713"/>
      <c r="AF1486" s="806"/>
    </row>
    <row r="1487" spans="1:32" s="20" customFormat="1" ht="30.75" customHeight="1">
      <c r="A1487" s="771" t="str">
        <f>C1481</f>
        <v>Hewan</v>
      </c>
      <c r="B1487" s="906">
        <f>'[1]4.NERACA'!D128</f>
        <v>0</v>
      </c>
      <c r="C1487" s="907"/>
      <c r="D1487" s="907"/>
      <c r="E1487" s="908"/>
      <c r="F1487" s="906">
        <f>'[1]4.NERACA'!E128</f>
        <v>0</v>
      </c>
      <c r="G1487" s="907"/>
      <c r="H1487" s="908"/>
      <c r="I1487" s="906">
        <f>'[1]4.NERACA'!F128</f>
        <v>0</v>
      </c>
      <c r="J1487" s="907"/>
      <c r="K1487" s="908"/>
      <c r="L1487" s="906">
        <f>'[1]4.NERACA'!G128</f>
        <v>0</v>
      </c>
      <c r="M1487" s="907"/>
      <c r="N1487" s="908"/>
      <c r="O1487" s="906">
        <f>'[1]4.NERACA'!H128</f>
        <v>0</v>
      </c>
      <c r="P1487" s="907"/>
      <c r="Q1487" s="908"/>
      <c r="R1487" s="906">
        <f>B1487+F1487-I1487+L1487-O1487</f>
        <v>0</v>
      </c>
      <c r="S1487" s="907"/>
      <c r="T1487" s="907"/>
      <c r="U1487" s="908"/>
      <c r="V1487" s="808"/>
      <c r="W1487" s="805"/>
      <c r="X1487" s="805"/>
      <c r="Y1487" s="208">
        <v>0</v>
      </c>
      <c r="Z1487" s="805"/>
      <c r="AA1487" s="805"/>
      <c r="AB1487" s="805"/>
      <c r="AC1487" s="451">
        <f>R1487-B1487</f>
        <v>0</v>
      </c>
      <c r="AD1487" s="452"/>
      <c r="AE1487" s="452"/>
      <c r="AF1487" s="453"/>
    </row>
    <row r="1488" spans="1:32" s="20" customFormat="1" ht="20.25" customHeight="1">
      <c r="A1488" s="782"/>
      <c r="B1488" s="772" t="s">
        <v>436</v>
      </c>
      <c r="C1488" s="772"/>
      <c r="D1488" s="772"/>
      <c r="E1488" s="772"/>
      <c r="F1488" s="772"/>
      <c r="G1488" s="772"/>
      <c r="H1488" s="772"/>
      <c r="I1488" s="772"/>
      <c r="J1488" s="772"/>
      <c r="K1488" s="772"/>
      <c r="L1488" s="772"/>
      <c r="M1488" s="772"/>
      <c r="N1488" s="772"/>
      <c r="O1488" s="772"/>
      <c r="P1488" s="772"/>
      <c r="Q1488" s="772"/>
      <c r="R1488" s="772"/>
      <c r="S1488" s="772"/>
      <c r="T1488" s="772"/>
      <c r="U1488" s="772"/>
      <c r="V1488" s="27"/>
    </row>
    <row r="1489" spans="1:32" s="20" customFormat="1" ht="26.25" customHeight="1">
      <c r="A1489" s="782"/>
      <c r="B1489" s="442"/>
      <c r="C1489" s="428" t="s">
        <v>428</v>
      </c>
      <c r="D1489" s="428"/>
      <c r="E1489" s="428"/>
      <c r="F1489" s="428"/>
      <c r="G1489" s="428"/>
      <c r="H1489" s="428"/>
      <c r="I1489" s="428"/>
      <c r="J1489" s="428"/>
      <c r="K1489" s="428"/>
      <c r="L1489" s="428"/>
      <c r="M1489" s="428"/>
      <c r="N1489" s="428"/>
      <c r="O1489" s="428"/>
      <c r="P1489" s="428"/>
      <c r="Q1489" s="428"/>
      <c r="R1489" s="428"/>
      <c r="S1489" s="428"/>
      <c r="T1489" s="428"/>
      <c r="U1489" s="428"/>
      <c r="V1489" s="27"/>
    </row>
    <row r="1490" spans="1:32" s="20" customFormat="1" ht="17.25" customHeight="1">
      <c r="A1490" s="782"/>
      <c r="B1490" s="442"/>
      <c r="C1490" s="354" t="str">
        <f>"Mutasi Debet sebesar Rp. "&amp;FIXED(F1487+L1487)&amp;" "</f>
        <v xml:space="preserve">Mutasi Debet sebesar Rp. 0.00 </v>
      </c>
      <c r="D1490" s="354"/>
      <c r="E1490" s="354"/>
      <c r="F1490" s="354"/>
      <c r="G1490" s="354"/>
      <c r="H1490" s="354"/>
      <c r="I1490" s="354"/>
      <c r="J1490" s="354"/>
      <c r="K1490" s="354"/>
      <c r="L1490" s="354"/>
      <c r="M1490" s="354"/>
      <c r="N1490" s="354"/>
      <c r="O1490" s="354"/>
      <c r="P1490" s="354"/>
      <c r="Q1490" s="354"/>
      <c r="R1490" s="354"/>
      <c r="S1490" s="354"/>
      <c r="T1490" s="354"/>
      <c r="U1490" s="354"/>
      <c r="V1490" s="27"/>
    </row>
    <row r="1491" spans="1:32" s="20" customFormat="1" ht="17.25" customHeight="1">
      <c r="A1491" s="782"/>
      <c r="B1491" s="442"/>
      <c r="C1491" s="428" t="s">
        <v>430</v>
      </c>
      <c r="D1491" s="428"/>
      <c r="E1491" s="428"/>
      <c r="F1491" s="428"/>
      <c r="G1491" s="428"/>
      <c r="H1491" s="428"/>
      <c r="I1491" s="428"/>
      <c r="J1491" s="428"/>
      <c r="K1491" s="428"/>
      <c r="L1491" s="428"/>
      <c r="M1491" s="428"/>
      <c r="N1491" s="428"/>
      <c r="O1491" s="428"/>
      <c r="P1491" s="428"/>
      <c r="Q1491" s="428"/>
      <c r="R1491" s="428"/>
      <c r="S1491" s="428"/>
      <c r="T1491" s="428"/>
      <c r="U1491" s="428"/>
      <c r="V1491" s="27"/>
    </row>
    <row r="1492" spans="1:32" s="20" customFormat="1" ht="15" customHeight="1">
      <c r="A1492" s="782"/>
      <c r="B1492" s="784"/>
      <c r="C1492" s="354" t="str">
        <f>"Mutasi Kredit Rp. "&amp;FIXED(I1487+O1487)&amp;" "</f>
        <v xml:space="preserve">Mutasi Kredit Rp. 0.00 </v>
      </c>
      <c r="D1492" s="354"/>
      <c r="E1492" s="354"/>
      <c r="F1492" s="354"/>
      <c r="G1492" s="354"/>
      <c r="H1492" s="354"/>
      <c r="I1492" s="354"/>
      <c r="J1492" s="354"/>
      <c r="K1492" s="354"/>
      <c r="L1492" s="354"/>
      <c r="M1492" s="354"/>
      <c r="N1492" s="354"/>
      <c r="O1492" s="354"/>
      <c r="P1492" s="354"/>
      <c r="Q1492" s="354"/>
      <c r="R1492" s="354"/>
      <c r="S1492" s="354"/>
      <c r="T1492" s="354"/>
      <c r="U1492" s="354"/>
      <c r="V1492" s="27"/>
    </row>
    <row r="1493" spans="1:32" s="20" customFormat="1" ht="15" customHeight="1">
      <c r="A1493" s="14"/>
      <c r="B1493" s="385"/>
      <c r="C1493" s="385"/>
      <c r="D1493" s="385"/>
      <c r="E1493" s="385"/>
      <c r="F1493" s="385"/>
      <c r="G1493" s="385"/>
      <c r="H1493" s="385"/>
      <c r="I1493" s="385"/>
      <c r="J1493" s="385"/>
      <c r="K1493" s="385"/>
      <c r="L1493" s="385"/>
      <c r="M1493" s="385"/>
      <c r="N1493" s="483"/>
      <c r="O1493" s="483"/>
      <c r="P1493" s="483"/>
      <c r="Q1493" s="483"/>
      <c r="R1493" s="483"/>
      <c r="S1493" s="483"/>
      <c r="T1493" s="483"/>
      <c r="U1493" s="483"/>
      <c r="V1493" s="27"/>
    </row>
    <row r="1494" spans="1:32" s="20" customFormat="1" ht="15" customHeight="1">
      <c r="A1494" s="14"/>
      <c r="B1494" s="774" t="s">
        <v>440</v>
      </c>
      <c r="C1494" s="775" t="str">
        <f>'[1]4.NERACA'!C130</f>
        <v>Tanaman</v>
      </c>
      <c r="D1494" s="775"/>
      <c r="E1494" s="775"/>
      <c r="F1494" s="775"/>
      <c r="G1494" s="775"/>
      <c r="H1494" s="775"/>
      <c r="I1494" s="775"/>
      <c r="J1494" s="775"/>
      <c r="K1494" s="775"/>
      <c r="L1494" s="775"/>
      <c r="M1494" s="775"/>
      <c r="N1494" s="775"/>
      <c r="O1494" s="775"/>
      <c r="P1494" s="775"/>
      <c r="Q1494" s="775"/>
      <c r="R1494" s="775"/>
      <c r="S1494" s="775"/>
      <c r="T1494" s="775"/>
      <c r="U1494" s="775"/>
      <c r="V1494" s="27"/>
    </row>
    <row r="1495" spans="1:32" s="20" customFormat="1" ht="67.5" customHeight="1">
      <c r="A1495" s="14"/>
      <c r="C1495" s="313" t="str">
        <f>"Nilai aset tetap berupa "&amp;C1494&amp;"  per "&amp;'[1]2.ISIAN DATA SKPD'!D8&amp;" dan  "&amp;'[1]2.ISIAN DATA SKPD'!D12&amp;" adalah sebesar Rp. "&amp;FIXED(R1500)&amp;" dan Rp. "&amp;FIXED(B1500)&amp;" tidak mengalami kenaikan/penurunan sebesar Rp. "&amp;FIXED(AC1500)&amp;" atau sebesar "&amp;FIXED(Y1500)&amp;"% dari tahun "&amp;'[1]2.ISIAN DATA SKPD'!D12&amp;"."</f>
        <v>Nilai aset tetap berupa Tanaman  per 31 Desember 2017 dan  2016 adalah sebesar Rp. 0.00 dan Rp. 0.00 tidak mengalami kenaikan/penurunan sebesar Rp. 0.00 atau sebesar 0.00% dari tahun 2016.</v>
      </c>
      <c r="D1495" s="313"/>
      <c r="E1495" s="313"/>
      <c r="F1495" s="313"/>
      <c r="G1495" s="313"/>
      <c r="H1495" s="313"/>
      <c r="I1495" s="313"/>
      <c r="J1495" s="313"/>
      <c r="K1495" s="313"/>
      <c r="L1495" s="313"/>
      <c r="M1495" s="313"/>
      <c r="N1495" s="313"/>
      <c r="O1495" s="313"/>
      <c r="P1495" s="313"/>
      <c r="Q1495" s="313"/>
      <c r="R1495" s="313"/>
      <c r="S1495" s="313"/>
      <c r="T1495" s="313"/>
      <c r="U1495" s="313"/>
      <c r="V1495" s="27"/>
    </row>
    <row r="1496" spans="1:32" s="20" customFormat="1" ht="15" customHeight="1">
      <c r="A1496" s="14"/>
      <c r="B1496" s="285"/>
      <c r="C1496" s="313" t="str">
        <f>"Dengan mutasi  selama tahun "&amp;'[1]2.ISIAN DATA SKPD'!D11&amp;" sebagai berikut :"</f>
        <v>Dengan mutasi  selama tahun 2017 sebagai berikut :</v>
      </c>
      <c r="D1496" s="313"/>
      <c r="E1496" s="313"/>
      <c r="F1496" s="313"/>
      <c r="G1496" s="313"/>
      <c r="H1496" s="313"/>
      <c r="I1496" s="313"/>
      <c r="J1496" s="313"/>
      <c r="K1496" s="313"/>
      <c r="L1496" s="313"/>
      <c r="M1496" s="313"/>
      <c r="N1496" s="313"/>
      <c r="O1496" s="313"/>
      <c r="P1496" s="313"/>
      <c r="Q1496" s="313"/>
      <c r="R1496" s="313"/>
      <c r="S1496" s="313"/>
      <c r="T1496" s="313"/>
      <c r="U1496" s="313"/>
      <c r="V1496" s="27"/>
    </row>
    <row r="1497" spans="1:32" s="20" customFormat="1" ht="15" customHeight="1">
      <c r="A1497" s="909"/>
      <c r="B1497" s="882"/>
      <c r="C1497" s="882"/>
      <c r="D1497" s="882"/>
      <c r="E1497" s="882"/>
      <c r="F1497" s="882"/>
      <c r="G1497" s="882"/>
      <c r="H1497" s="882"/>
      <c r="I1497" s="882"/>
      <c r="J1497" s="882"/>
      <c r="K1497" s="882"/>
      <c r="L1497" s="882"/>
      <c r="M1497" s="882"/>
      <c r="N1497" s="882"/>
      <c r="O1497" s="882"/>
      <c r="P1497" s="882"/>
      <c r="Q1497" s="882"/>
      <c r="R1497" s="882"/>
      <c r="S1497" s="882"/>
      <c r="T1497" s="882"/>
      <c r="U1497" s="882"/>
      <c r="V1497" s="27"/>
    </row>
    <row r="1498" spans="1:32" s="20" customFormat="1" ht="15" customHeight="1">
      <c r="A1498" s="910" t="s">
        <v>84</v>
      </c>
      <c r="B1498" s="911" t="s">
        <v>411</v>
      </c>
      <c r="C1498" s="912"/>
      <c r="D1498" s="912"/>
      <c r="E1498" s="913"/>
      <c r="F1498" s="914" t="s">
        <v>412</v>
      </c>
      <c r="G1498" s="914"/>
      <c r="H1498" s="914"/>
      <c r="I1498" s="914"/>
      <c r="J1498" s="914"/>
      <c r="K1498" s="914"/>
      <c r="L1498" s="914" t="s">
        <v>413</v>
      </c>
      <c r="M1498" s="914"/>
      <c r="N1498" s="914"/>
      <c r="O1498" s="914"/>
      <c r="P1498" s="914"/>
      <c r="Q1498" s="914"/>
      <c r="R1498" s="915" t="s">
        <v>414</v>
      </c>
      <c r="S1498" s="915"/>
      <c r="T1498" s="915"/>
      <c r="U1498" s="915"/>
      <c r="V1498" s="27"/>
    </row>
    <row r="1499" spans="1:32" s="20" customFormat="1" ht="18" customHeight="1">
      <c r="A1499" s="732"/>
      <c r="B1499" s="733">
        <f>B1373</f>
        <v>2017</v>
      </c>
      <c r="C1499" s="734"/>
      <c r="D1499" s="734"/>
      <c r="E1499" s="735"/>
      <c r="F1499" s="731" t="s">
        <v>415</v>
      </c>
      <c r="G1499" s="731"/>
      <c r="H1499" s="731"/>
      <c r="I1499" s="731" t="s">
        <v>416</v>
      </c>
      <c r="J1499" s="731"/>
      <c r="K1499" s="731"/>
      <c r="L1499" s="731" t="s">
        <v>415</v>
      </c>
      <c r="M1499" s="731"/>
      <c r="N1499" s="731"/>
      <c r="O1499" s="736" t="s">
        <v>416</v>
      </c>
      <c r="P1499" s="736"/>
      <c r="Q1499" s="736"/>
      <c r="R1499" s="733">
        <f>R1373</f>
        <v>2017</v>
      </c>
      <c r="S1499" s="734"/>
      <c r="T1499" s="734"/>
      <c r="U1499" s="735"/>
      <c r="V1499" s="804"/>
      <c r="W1499" s="805"/>
      <c r="X1499" s="805"/>
      <c r="Y1499" s="208" t="s">
        <v>417</v>
      </c>
      <c r="Z1499" s="805"/>
      <c r="AA1499" s="805"/>
      <c r="AB1499" s="805"/>
      <c r="AC1499" s="712" t="s">
        <v>404</v>
      </c>
      <c r="AD1499" s="713"/>
      <c r="AE1499" s="713"/>
      <c r="AF1499" s="806"/>
    </row>
    <row r="1500" spans="1:32" s="20" customFormat="1" ht="21.75" customHeight="1">
      <c r="A1500" s="771" t="str">
        <f>C1494</f>
        <v>Tanaman</v>
      </c>
      <c r="B1500" s="853">
        <f>'[1]4.NERACA'!D129</f>
        <v>0</v>
      </c>
      <c r="C1500" s="854"/>
      <c r="D1500" s="854"/>
      <c r="E1500" s="855"/>
      <c r="F1500" s="853">
        <f>'[1]4.NERACA'!E129</f>
        <v>0</v>
      </c>
      <c r="G1500" s="854"/>
      <c r="H1500" s="855"/>
      <c r="I1500" s="853">
        <f>'[1]4.NERACA'!F129</f>
        <v>0</v>
      </c>
      <c r="J1500" s="854"/>
      <c r="K1500" s="855"/>
      <c r="L1500" s="853">
        <f>'[1]4.NERACA'!G129</f>
        <v>0</v>
      </c>
      <c r="M1500" s="854"/>
      <c r="N1500" s="855"/>
      <c r="O1500" s="853">
        <f>'[1]4.NERACA'!H129</f>
        <v>0</v>
      </c>
      <c r="P1500" s="854"/>
      <c r="Q1500" s="855"/>
      <c r="R1500" s="853">
        <f>B1500+F1500-I1500+L1500-O1500</f>
        <v>0</v>
      </c>
      <c r="S1500" s="854"/>
      <c r="T1500" s="854"/>
      <c r="U1500" s="855"/>
      <c r="V1500" s="808"/>
      <c r="W1500" s="805"/>
      <c r="X1500" s="805"/>
      <c r="Y1500" s="208">
        <v>0</v>
      </c>
      <c r="Z1500" s="805"/>
      <c r="AA1500" s="805"/>
      <c r="AB1500" s="805"/>
      <c r="AC1500" s="451">
        <f>R1500-B1500</f>
        <v>0</v>
      </c>
      <c r="AD1500" s="452"/>
      <c r="AE1500" s="452"/>
      <c r="AF1500" s="453"/>
    </row>
    <row r="1501" spans="1:32" s="20" customFormat="1" ht="15" customHeight="1">
      <c r="A1501" s="782"/>
      <c r="B1501" s="772" t="s">
        <v>436</v>
      </c>
      <c r="C1501" s="772"/>
      <c r="D1501" s="772"/>
      <c r="E1501" s="772"/>
      <c r="F1501" s="772"/>
      <c r="G1501" s="772"/>
      <c r="H1501" s="772"/>
      <c r="I1501" s="772"/>
      <c r="J1501" s="772"/>
      <c r="K1501" s="772"/>
      <c r="L1501" s="772"/>
      <c r="M1501" s="772"/>
      <c r="N1501" s="772"/>
      <c r="O1501" s="772"/>
      <c r="P1501" s="772"/>
      <c r="Q1501" s="772"/>
      <c r="R1501" s="772"/>
      <c r="S1501" s="772"/>
      <c r="T1501" s="772"/>
      <c r="U1501" s="772"/>
      <c r="V1501" s="27"/>
    </row>
    <row r="1502" spans="1:32" s="20" customFormat="1" ht="23.25" customHeight="1">
      <c r="A1502" s="782"/>
      <c r="B1502" s="442"/>
      <c r="C1502" s="428" t="s">
        <v>428</v>
      </c>
      <c r="D1502" s="428"/>
      <c r="E1502" s="428"/>
      <c r="F1502" s="428"/>
      <c r="G1502" s="428"/>
      <c r="H1502" s="428"/>
      <c r="I1502" s="428"/>
      <c r="J1502" s="428"/>
      <c r="K1502" s="428"/>
      <c r="L1502" s="428"/>
      <c r="M1502" s="428"/>
      <c r="N1502" s="428"/>
      <c r="O1502" s="428"/>
      <c r="P1502" s="428"/>
      <c r="Q1502" s="428"/>
      <c r="R1502" s="428"/>
      <c r="S1502" s="428"/>
      <c r="T1502" s="428"/>
      <c r="U1502" s="428"/>
      <c r="V1502" s="27"/>
    </row>
    <row r="1503" spans="1:32" s="20" customFormat="1" ht="18.75" customHeight="1">
      <c r="A1503" s="782"/>
      <c r="B1503" s="442"/>
      <c r="C1503" s="354" t="str">
        <f>"Mutasi Debet sebesar Rp. "&amp;FIXED(F1500+L1500)&amp;"0"</f>
        <v>Mutasi Debet sebesar Rp. 0.000</v>
      </c>
      <c r="D1503" s="354"/>
      <c r="E1503" s="354"/>
      <c r="F1503" s="354"/>
      <c r="G1503" s="354"/>
      <c r="H1503" s="354"/>
      <c r="I1503" s="354"/>
      <c r="J1503" s="354"/>
      <c r="K1503" s="354"/>
      <c r="L1503" s="354"/>
      <c r="M1503" s="354"/>
      <c r="N1503" s="354"/>
      <c r="O1503" s="354"/>
      <c r="P1503" s="354"/>
      <c r="Q1503" s="354"/>
      <c r="R1503" s="354"/>
      <c r="S1503" s="354"/>
      <c r="T1503" s="354"/>
      <c r="U1503" s="354"/>
      <c r="V1503" s="27"/>
    </row>
    <row r="1504" spans="1:32" s="20" customFormat="1" ht="17.25" customHeight="1">
      <c r="A1504" s="782"/>
      <c r="B1504" s="442"/>
      <c r="C1504" s="428" t="s">
        <v>430</v>
      </c>
      <c r="D1504" s="428"/>
      <c r="E1504" s="428"/>
      <c r="F1504" s="428"/>
      <c r="G1504" s="428"/>
      <c r="H1504" s="428"/>
      <c r="I1504" s="428"/>
      <c r="J1504" s="428"/>
      <c r="K1504" s="428"/>
      <c r="L1504" s="428"/>
      <c r="M1504" s="428"/>
      <c r="N1504" s="428"/>
      <c r="O1504" s="428"/>
      <c r="P1504" s="428"/>
      <c r="Q1504" s="428"/>
      <c r="R1504" s="428"/>
      <c r="S1504" s="428"/>
      <c r="T1504" s="428"/>
      <c r="U1504" s="428"/>
      <c r="V1504" s="27"/>
    </row>
    <row r="1505" spans="1:32" s="20" customFormat="1" ht="15" customHeight="1">
      <c r="A1505" s="782"/>
      <c r="B1505" s="784"/>
      <c r="C1505" s="354" t="str">
        <f>"Mutasi Kredit Rp. "&amp;FIXED(I1500+O1500)&amp;" 0"</f>
        <v>Mutasi Kredit Rp. 0.00 0</v>
      </c>
      <c r="D1505" s="354"/>
      <c r="E1505" s="354"/>
      <c r="F1505" s="354"/>
      <c r="G1505" s="354"/>
      <c r="H1505" s="354"/>
      <c r="I1505" s="354"/>
      <c r="J1505" s="354"/>
      <c r="K1505" s="354"/>
      <c r="L1505" s="354"/>
      <c r="M1505" s="354"/>
      <c r="N1505" s="354"/>
      <c r="O1505" s="354"/>
      <c r="P1505" s="354"/>
      <c r="Q1505" s="354"/>
      <c r="R1505" s="354"/>
      <c r="S1505" s="354"/>
      <c r="T1505" s="354"/>
      <c r="U1505" s="354"/>
      <c r="V1505" s="27"/>
    </row>
    <row r="1506" spans="1:32" s="20" customFormat="1" ht="15" customHeight="1">
      <c r="A1506" s="14"/>
      <c r="B1506" s="385"/>
      <c r="C1506" s="385"/>
      <c r="D1506" s="385"/>
      <c r="E1506" s="385"/>
      <c r="F1506" s="385"/>
      <c r="G1506" s="385"/>
      <c r="H1506" s="385"/>
      <c r="I1506" s="385"/>
      <c r="J1506" s="385"/>
      <c r="K1506" s="385"/>
      <c r="L1506" s="385"/>
      <c r="M1506" s="385"/>
      <c r="N1506" s="483"/>
      <c r="O1506" s="483"/>
      <c r="P1506" s="483"/>
      <c r="Q1506" s="483"/>
      <c r="R1506" s="483"/>
      <c r="S1506" s="483"/>
      <c r="T1506" s="483"/>
      <c r="U1506" s="483"/>
      <c r="V1506" s="27"/>
    </row>
    <row r="1507" spans="1:32" s="20" customFormat="1" ht="17.25" customHeight="1">
      <c r="A1507" s="14"/>
      <c r="B1507" s="774" t="s">
        <v>442</v>
      </c>
      <c r="C1507" s="775" t="str">
        <f>'[1]4.NERACA'!C131</f>
        <v>Aset Tetap Renovasi</v>
      </c>
      <c r="D1507" s="775"/>
      <c r="E1507" s="775"/>
      <c r="F1507" s="775"/>
      <c r="G1507" s="775"/>
      <c r="H1507" s="775"/>
      <c r="I1507" s="775"/>
      <c r="J1507" s="775"/>
      <c r="K1507" s="775"/>
      <c r="L1507" s="775"/>
      <c r="M1507" s="775"/>
      <c r="N1507" s="775"/>
      <c r="O1507" s="775"/>
      <c r="P1507" s="775"/>
      <c r="Q1507" s="775"/>
      <c r="R1507" s="775"/>
      <c r="S1507" s="775"/>
      <c r="T1507" s="775"/>
      <c r="U1507" s="775"/>
      <c r="V1507" s="27"/>
    </row>
    <row r="1508" spans="1:32" s="20" customFormat="1" ht="63.75" customHeight="1">
      <c r="A1508" s="14"/>
      <c r="C1508" s="313" t="str">
        <f>"Nilai aset tetap berupa "&amp;C1507&amp;"  per "&amp;'[1]2.ISIAN DATA SKPD'!D8&amp;" dan  "&amp;'[1]2.ISIAN DATA SKPD'!D12&amp;" adalah sebesar Rp. "&amp;FIXED(R1513)&amp;" dan Rp. "&amp;B1513&amp;" mengalami tidak kenaikan/penurunan sebesar Rp. "&amp;FIXED(AC1513)&amp;" atau sebesar "&amp;FIXED(Y1513)&amp;"% dari tahun "&amp;'[1]2.ISIAN DATA SKPD'!D12&amp;"."</f>
        <v>Nilai aset tetap berupa Aset Tetap Renovasi  per 31 Desember 2017 dan  2016 adalah sebesar Rp. 0.00 dan Rp. 0 mengalami tidak kenaikan/penurunan sebesar Rp. 0.00 atau sebesar 0.00% dari tahun 2016.</v>
      </c>
      <c r="D1508" s="313"/>
      <c r="E1508" s="313"/>
      <c r="F1508" s="313"/>
      <c r="G1508" s="313"/>
      <c r="H1508" s="313"/>
      <c r="I1508" s="313"/>
      <c r="J1508" s="313"/>
      <c r="K1508" s="313"/>
      <c r="L1508" s="313"/>
      <c r="M1508" s="313"/>
      <c r="N1508" s="313"/>
      <c r="O1508" s="313"/>
      <c r="P1508" s="313"/>
      <c r="Q1508" s="313"/>
      <c r="R1508" s="313"/>
      <c r="S1508" s="313"/>
      <c r="T1508" s="313"/>
      <c r="U1508" s="313"/>
      <c r="V1508" s="27"/>
    </row>
    <row r="1509" spans="1:32" s="20" customFormat="1" ht="24.75" customHeight="1">
      <c r="A1509" s="14"/>
      <c r="B1509" s="285"/>
      <c r="C1509" s="313" t="str">
        <f>"Dengan mutasi  selama tahun "&amp;'[1]2.ISIAN DATA SKPD'!D11&amp;" sebagai berikut :"</f>
        <v>Dengan mutasi  selama tahun 2017 sebagai berikut :</v>
      </c>
      <c r="D1509" s="313"/>
      <c r="E1509" s="313"/>
      <c r="F1509" s="313"/>
      <c r="G1509" s="313"/>
      <c r="H1509" s="313"/>
      <c r="I1509" s="313"/>
      <c r="J1509" s="313"/>
      <c r="K1509" s="313"/>
      <c r="L1509" s="313"/>
      <c r="M1509" s="313"/>
      <c r="N1509" s="313"/>
      <c r="O1509" s="313"/>
      <c r="P1509" s="313"/>
      <c r="Q1509" s="313"/>
      <c r="R1509" s="313"/>
      <c r="S1509" s="313"/>
      <c r="T1509" s="313"/>
      <c r="U1509" s="313"/>
      <c r="V1509" s="27"/>
    </row>
    <row r="1510" spans="1:32" s="20" customFormat="1" ht="8.25" customHeight="1">
      <c r="A1510" s="14"/>
      <c r="B1510" s="285"/>
      <c r="C1510" s="882"/>
      <c r="D1510" s="882"/>
      <c r="E1510" s="882"/>
      <c r="F1510" s="882"/>
      <c r="G1510" s="882"/>
      <c r="H1510" s="882"/>
      <c r="I1510" s="882"/>
      <c r="J1510" s="882"/>
      <c r="K1510" s="882"/>
      <c r="L1510" s="882"/>
      <c r="M1510" s="882"/>
      <c r="N1510" s="882"/>
      <c r="O1510" s="882"/>
      <c r="P1510" s="882"/>
      <c r="Q1510" s="882"/>
      <c r="R1510" s="882"/>
      <c r="S1510" s="882"/>
      <c r="T1510" s="882"/>
      <c r="U1510" s="882"/>
      <c r="V1510" s="27"/>
    </row>
    <row r="1511" spans="1:32" s="20" customFormat="1" ht="33" customHeight="1">
      <c r="A1511" s="726" t="s">
        <v>84</v>
      </c>
      <c r="B1511" s="727" t="s">
        <v>411</v>
      </c>
      <c r="C1511" s="728"/>
      <c r="D1511" s="728"/>
      <c r="E1511" s="729"/>
      <c r="F1511" s="730" t="s">
        <v>412</v>
      </c>
      <c r="G1511" s="730"/>
      <c r="H1511" s="730"/>
      <c r="I1511" s="730"/>
      <c r="J1511" s="730"/>
      <c r="K1511" s="730"/>
      <c r="L1511" s="730" t="s">
        <v>413</v>
      </c>
      <c r="M1511" s="730"/>
      <c r="N1511" s="730"/>
      <c r="O1511" s="730"/>
      <c r="P1511" s="730"/>
      <c r="Q1511" s="730"/>
      <c r="R1511" s="731" t="s">
        <v>414</v>
      </c>
      <c r="S1511" s="731"/>
      <c r="T1511" s="731"/>
      <c r="U1511" s="731"/>
      <c r="V1511" s="27"/>
    </row>
    <row r="1512" spans="1:32" s="20" customFormat="1" ht="21" customHeight="1">
      <c r="A1512" s="732"/>
      <c r="B1512" s="733">
        <f>B1499</f>
        <v>2017</v>
      </c>
      <c r="C1512" s="734"/>
      <c r="D1512" s="734"/>
      <c r="E1512" s="735"/>
      <c r="F1512" s="731" t="s">
        <v>415</v>
      </c>
      <c r="G1512" s="731"/>
      <c r="H1512" s="731"/>
      <c r="I1512" s="731" t="s">
        <v>416</v>
      </c>
      <c r="J1512" s="731"/>
      <c r="K1512" s="731"/>
      <c r="L1512" s="731" t="s">
        <v>415</v>
      </c>
      <c r="M1512" s="731"/>
      <c r="N1512" s="731"/>
      <c r="O1512" s="736" t="s">
        <v>416</v>
      </c>
      <c r="P1512" s="736"/>
      <c r="Q1512" s="736"/>
      <c r="R1512" s="733">
        <f>R1499</f>
        <v>2017</v>
      </c>
      <c r="S1512" s="734"/>
      <c r="T1512" s="734"/>
      <c r="U1512" s="735"/>
      <c r="V1512" s="804"/>
      <c r="W1512" s="805"/>
      <c r="X1512" s="805"/>
      <c r="Y1512" s="208" t="s">
        <v>417</v>
      </c>
      <c r="Z1512" s="805"/>
      <c r="AA1512" s="805"/>
      <c r="AB1512" s="805"/>
      <c r="AC1512" s="712" t="s">
        <v>404</v>
      </c>
      <c r="AD1512" s="713"/>
      <c r="AE1512" s="713"/>
      <c r="AF1512" s="806"/>
    </row>
    <row r="1513" spans="1:32" s="20" customFormat="1" ht="30" customHeight="1">
      <c r="A1513" s="771" t="str">
        <f>C1507</f>
        <v>Aset Tetap Renovasi</v>
      </c>
      <c r="B1513" s="853">
        <f>'[1]4.NERACA'!D130</f>
        <v>0</v>
      </c>
      <c r="C1513" s="854"/>
      <c r="D1513" s="854"/>
      <c r="E1513" s="855"/>
      <c r="F1513" s="853">
        <f>'[1]4.NERACA'!E130</f>
        <v>0</v>
      </c>
      <c r="G1513" s="854"/>
      <c r="H1513" s="855"/>
      <c r="I1513" s="853">
        <f>'[1]4.NERACA'!F130</f>
        <v>0</v>
      </c>
      <c r="J1513" s="854"/>
      <c r="K1513" s="855"/>
      <c r="L1513" s="853">
        <f>'[1]4.NERACA'!G130</f>
        <v>0</v>
      </c>
      <c r="M1513" s="854"/>
      <c r="N1513" s="855"/>
      <c r="O1513" s="853">
        <f>'[1]4.NERACA'!H130</f>
        <v>0</v>
      </c>
      <c r="P1513" s="854"/>
      <c r="Q1513" s="855"/>
      <c r="R1513" s="853">
        <f>B1513+F1513-I1513+L1513-O1513</f>
        <v>0</v>
      </c>
      <c r="S1513" s="854"/>
      <c r="T1513" s="854"/>
      <c r="U1513" s="855"/>
      <c r="V1513" s="808"/>
      <c r="W1513" s="805"/>
      <c r="X1513" s="805"/>
      <c r="Y1513" s="208">
        <v>0</v>
      </c>
      <c r="Z1513" s="805"/>
      <c r="AA1513" s="805"/>
      <c r="AB1513" s="805"/>
      <c r="AC1513" s="451">
        <f>R1513-B1513</f>
        <v>0</v>
      </c>
      <c r="AD1513" s="452"/>
      <c r="AE1513" s="452"/>
      <c r="AF1513" s="453"/>
    </row>
    <row r="1514" spans="1:32" s="20" customFormat="1" ht="24" customHeight="1">
      <c r="A1514" s="782"/>
      <c r="B1514" s="772" t="s">
        <v>436</v>
      </c>
      <c r="C1514" s="772"/>
      <c r="D1514" s="772"/>
      <c r="E1514" s="772"/>
      <c r="F1514" s="772"/>
      <c r="G1514" s="772"/>
      <c r="H1514" s="772"/>
      <c r="I1514" s="772"/>
      <c r="J1514" s="772"/>
      <c r="K1514" s="772"/>
      <c r="L1514" s="772"/>
      <c r="M1514" s="772"/>
      <c r="N1514" s="772"/>
      <c r="O1514" s="772"/>
      <c r="P1514" s="772"/>
      <c r="Q1514" s="772"/>
      <c r="R1514" s="772"/>
      <c r="S1514" s="772"/>
      <c r="T1514" s="772"/>
      <c r="U1514" s="772"/>
      <c r="V1514" s="27"/>
    </row>
    <row r="1515" spans="1:32" s="20" customFormat="1" ht="20.25" customHeight="1">
      <c r="A1515" s="782"/>
      <c r="B1515" s="442"/>
      <c r="C1515" s="428" t="s">
        <v>428</v>
      </c>
      <c r="D1515" s="428"/>
      <c r="E1515" s="428"/>
      <c r="F1515" s="428"/>
      <c r="G1515" s="428"/>
      <c r="H1515" s="428"/>
      <c r="I1515" s="428"/>
      <c r="J1515" s="428"/>
      <c r="K1515" s="428"/>
      <c r="L1515" s="428"/>
      <c r="M1515" s="428"/>
      <c r="N1515" s="428"/>
      <c r="O1515" s="428"/>
      <c r="P1515" s="428"/>
      <c r="Q1515" s="428"/>
      <c r="R1515" s="428"/>
      <c r="S1515" s="428"/>
      <c r="T1515" s="428"/>
      <c r="U1515" s="428"/>
      <c r="V1515" s="27"/>
    </row>
    <row r="1516" spans="1:32" s="20" customFormat="1" ht="20.25" customHeight="1">
      <c r="A1516" s="782"/>
      <c r="B1516" s="442"/>
      <c r="C1516" s="354" t="str">
        <f>"Mutasi Debet sebesar Rp. "&amp;FIXED(F1513+L1513)&amp;""</f>
        <v>Mutasi Debet sebesar Rp. 0.00</v>
      </c>
      <c r="D1516" s="354"/>
      <c r="E1516" s="354"/>
      <c r="F1516" s="354"/>
      <c r="G1516" s="354"/>
      <c r="H1516" s="354"/>
      <c r="I1516" s="354"/>
      <c r="J1516" s="354"/>
      <c r="K1516" s="354"/>
      <c r="L1516" s="354"/>
      <c r="M1516" s="354"/>
      <c r="N1516" s="354"/>
      <c r="O1516" s="354"/>
      <c r="P1516" s="354"/>
      <c r="Q1516" s="354"/>
      <c r="R1516" s="354"/>
      <c r="S1516" s="354"/>
      <c r="T1516" s="354"/>
      <c r="U1516" s="354"/>
      <c r="V1516" s="27"/>
    </row>
    <row r="1517" spans="1:32" s="20" customFormat="1" ht="25.5" customHeight="1">
      <c r="A1517" s="782"/>
      <c r="B1517" s="442"/>
      <c r="C1517" s="428" t="s">
        <v>430</v>
      </c>
      <c r="D1517" s="428"/>
      <c r="E1517" s="428"/>
      <c r="F1517" s="428"/>
      <c r="G1517" s="428"/>
      <c r="H1517" s="428"/>
      <c r="I1517" s="428"/>
      <c r="J1517" s="428"/>
      <c r="K1517" s="428"/>
      <c r="L1517" s="428"/>
      <c r="M1517" s="428"/>
      <c r="N1517" s="428"/>
      <c r="O1517" s="428"/>
      <c r="P1517" s="428"/>
      <c r="Q1517" s="428"/>
      <c r="R1517" s="428"/>
      <c r="S1517" s="428"/>
      <c r="T1517" s="428"/>
      <c r="U1517" s="428"/>
      <c r="V1517" s="27"/>
    </row>
    <row r="1518" spans="1:32" s="20" customFormat="1" ht="18" customHeight="1">
      <c r="A1518" s="782"/>
      <c r="B1518" s="784"/>
      <c r="C1518" s="354" t="str">
        <f>"Mutasi Kredit Rp. "&amp;FIXED(I1513+O1513)&amp;" "</f>
        <v xml:space="preserve">Mutasi Kredit Rp. 0.00 </v>
      </c>
      <c r="D1518" s="354"/>
      <c r="E1518" s="354"/>
      <c r="F1518" s="354"/>
      <c r="G1518" s="354"/>
      <c r="H1518" s="354"/>
      <c r="I1518" s="354"/>
      <c r="J1518" s="354"/>
      <c r="K1518" s="354"/>
      <c r="L1518" s="354"/>
      <c r="M1518" s="354"/>
      <c r="N1518" s="354"/>
      <c r="O1518" s="354"/>
      <c r="P1518" s="354"/>
      <c r="Q1518" s="354"/>
      <c r="R1518" s="354"/>
      <c r="S1518" s="354"/>
      <c r="T1518" s="354"/>
      <c r="U1518" s="354"/>
      <c r="V1518" s="27"/>
    </row>
    <row r="1519" spans="1:32" s="20" customFormat="1" ht="12" customHeight="1">
      <c r="A1519" s="14"/>
      <c r="B1519" s="385"/>
      <c r="C1519" s="385"/>
      <c r="D1519" s="385"/>
      <c r="E1519" s="385"/>
      <c r="F1519" s="385"/>
      <c r="G1519" s="385"/>
      <c r="H1519" s="385"/>
      <c r="I1519" s="385"/>
      <c r="J1519" s="385"/>
      <c r="K1519" s="385"/>
      <c r="L1519" s="385"/>
      <c r="M1519" s="385"/>
      <c r="N1519" s="483"/>
      <c r="O1519" s="483"/>
      <c r="P1519" s="483"/>
      <c r="Q1519" s="483"/>
      <c r="R1519" s="483"/>
      <c r="S1519" s="483"/>
      <c r="T1519" s="483"/>
      <c r="U1519" s="483"/>
      <c r="V1519" s="27"/>
    </row>
    <row r="1520" spans="1:32" s="20" customFormat="1" ht="32.25" customHeight="1">
      <c r="A1520" s="14"/>
      <c r="B1520" s="309" t="s">
        <v>458</v>
      </c>
      <c r="C1520" s="309"/>
      <c r="D1520" s="309"/>
      <c r="E1520" s="309"/>
      <c r="F1520" s="309"/>
      <c r="G1520" s="309"/>
      <c r="H1520" s="309"/>
      <c r="I1520" s="309"/>
      <c r="J1520" s="309"/>
      <c r="K1520" s="309"/>
      <c r="L1520" s="309"/>
      <c r="M1520" s="309"/>
      <c r="N1520" s="309"/>
      <c r="O1520" s="309"/>
      <c r="P1520" s="309"/>
      <c r="Q1520" s="309"/>
      <c r="R1520" s="309"/>
      <c r="S1520" s="309"/>
      <c r="T1520" s="309"/>
      <c r="U1520" s="309"/>
      <c r="V1520" s="27"/>
    </row>
    <row r="1521" spans="1:32" s="20" customFormat="1" ht="15.75" customHeight="1">
      <c r="A1521" s="14"/>
      <c r="B1521" s="164"/>
      <c r="C1521" s="164"/>
      <c r="D1521" s="164"/>
      <c r="E1521" s="164"/>
      <c r="F1521" s="164"/>
      <c r="G1521" s="164"/>
      <c r="H1521" s="164"/>
      <c r="I1521" s="164"/>
      <c r="J1521" s="164"/>
      <c r="K1521" s="164"/>
      <c r="L1521" s="164"/>
      <c r="M1521" s="164"/>
      <c r="N1521" s="164"/>
      <c r="O1521" s="164"/>
      <c r="P1521" s="164"/>
      <c r="Q1521" s="164"/>
      <c r="R1521" s="164"/>
      <c r="S1521" s="164"/>
      <c r="T1521" s="46"/>
      <c r="U1521" s="46"/>
      <c r="V1521" s="27"/>
    </row>
    <row r="1522" spans="1:32" s="20" customFormat="1" ht="27" customHeight="1">
      <c r="A1522" s="831"/>
      <c r="B1522" s="916" t="s">
        <v>459</v>
      </c>
      <c r="C1522" s="725" t="str">
        <f>'[1]4.NERACA'!C132</f>
        <v>Konstruksi Dalam Pengerjaan</v>
      </c>
      <c r="D1522" s="725"/>
      <c r="E1522" s="725"/>
      <c r="F1522" s="725"/>
      <c r="G1522" s="725"/>
      <c r="H1522" s="725"/>
      <c r="I1522" s="725"/>
      <c r="J1522" s="725"/>
      <c r="K1522" s="725"/>
      <c r="L1522" s="725"/>
      <c r="M1522" s="725"/>
      <c r="N1522" s="725"/>
      <c r="O1522" s="725"/>
      <c r="P1522" s="725"/>
      <c r="Q1522" s="725"/>
      <c r="R1522" s="725"/>
      <c r="S1522" s="725"/>
      <c r="T1522" s="725"/>
      <c r="V1522" s="27"/>
    </row>
    <row r="1523" spans="1:32" s="20" customFormat="1" ht="62.25" customHeight="1">
      <c r="A1523" s="831"/>
      <c r="B1523" s="567"/>
      <c r="C1523" s="313" t="str">
        <f>"Saldo "&amp;C1522&amp;" per "&amp;'[1]2.ISIAN DATA SKPD'!D8&amp;" dan "&amp;'[1]2.ISIAN DATA SKPD'!D12&amp;" adalah masing-masing sebesar Rp. "&amp;R1529&amp;" dan Rp. "&amp;FIXED(B1529)&amp;" mengalami tidak kenaikan/penurunan sebesar Rp. "&amp;FIXED(AC1529)&amp;" atau sebesar "&amp;FIXED(Y1529)&amp;"% dari tahun "&amp;'[1]2.ISIAN DATA SKPD'!D12&amp;"."</f>
        <v>Saldo Konstruksi Dalam Pengerjaan per 31 Desember 2017 dan 2016 adalah masing-masing sebesar Rp. 0 dan Rp. 0.00 mengalami tidak kenaikan/penurunan sebesar Rp. 0.00 atau sebesar 0.00% dari tahun 2016.</v>
      </c>
      <c r="D1523" s="313"/>
      <c r="E1523" s="313"/>
      <c r="F1523" s="313"/>
      <c r="G1523" s="313"/>
      <c r="H1523" s="313"/>
      <c r="I1523" s="313"/>
      <c r="J1523" s="313"/>
      <c r="K1523" s="313"/>
      <c r="L1523" s="313"/>
      <c r="M1523" s="313"/>
      <c r="N1523" s="313"/>
      <c r="O1523" s="313"/>
      <c r="P1523" s="313"/>
      <c r="Q1523" s="313"/>
      <c r="R1523" s="313"/>
      <c r="S1523" s="313"/>
      <c r="T1523" s="313"/>
      <c r="U1523" s="313"/>
      <c r="V1523" s="27"/>
    </row>
    <row r="1524" spans="1:32" s="20" customFormat="1" ht="36.75" customHeight="1">
      <c r="A1524" s="831"/>
      <c r="B1524" s="567"/>
      <c r="C1524" s="313" t="str">
        <f>"Mutasi transaksi terhadap "&amp;C1522&amp;" pada tanggal pelaporan adalah sebagai berikut:"</f>
        <v>Mutasi transaksi terhadap Konstruksi Dalam Pengerjaan pada tanggal pelaporan adalah sebagai berikut:</v>
      </c>
      <c r="D1524" s="313"/>
      <c r="E1524" s="313"/>
      <c r="F1524" s="313"/>
      <c r="G1524" s="313"/>
      <c r="H1524" s="313"/>
      <c r="I1524" s="313"/>
      <c r="J1524" s="313"/>
      <c r="K1524" s="313"/>
      <c r="L1524" s="313"/>
      <c r="M1524" s="313"/>
      <c r="N1524" s="313"/>
      <c r="O1524" s="313"/>
      <c r="P1524" s="313"/>
      <c r="Q1524" s="313"/>
      <c r="R1524" s="313"/>
      <c r="S1524" s="313"/>
      <c r="T1524" s="313"/>
      <c r="U1524" s="313"/>
      <c r="V1524" s="27"/>
    </row>
    <row r="1525" spans="1:32" s="20" customFormat="1" ht="10.5" customHeight="1">
      <c r="A1525" s="833"/>
      <c r="B1525" s="567"/>
      <c r="C1525" s="285"/>
      <c r="D1525" s="285"/>
      <c r="E1525" s="285"/>
      <c r="F1525" s="285"/>
      <c r="G1525" s="285"/>
      <c r="H1525" s="285"/>
      <c r="I1525" s="285"/>
      <c r="J1525" s="285"/>
      <c r="K1525" s="285"/>
      <c r="L1525" s="285"/>
      <c r="M1525" s="285"/>
      <c r="N1525" s="285"/>
      <c r="O1525" s="285"/>
      <c r="P1525" s="285"/>
      <c r="Q1525" s="285"/>
      <c r="R1525" s="285"/>
      <c r="S1525" s="285"/>
      <c r="T1525" s="285"/>
      <c r="U1525" s="285"/>
      <c r="V1525" s="27"/>
    </row>
    <row r="1526" spans="1:32" s="20" customFormat="1" ht="3" customHeight="1">
      <c r="A1526" s="833"/>
      <c r="B1526" s="567"/>
      <c r="C1526" s="285"/>
      <c r="D1526" s="285"/>
      <c r="E1526" s="285"/>
      <c r="F1526" s="285"/>
      <c r="G1526" s="285"/>
      <c r="H1526" s="285"/>
      <c r="I1526" s="285"/>
      <c r="J1526" s="285"/>
      <c r="K1526" s="285"/>
      <c r="L1526" s="285"/>
      <c r="M1526" s="285"/>
      <c r="N1526" s="285"/>
      <c r="O1526" s="285"/>
      <c r="P1526" s="285"/>
      <c r="Q1526" s="285"/>
      <c r="R1526" s="285"/>
      <c r="S1526" s="285"/>
      <c r="T1526" s="285"/>
      <c r="U1526" s="285"/>
      <c r="V1526" s="27"/>
    </row>
    <row r="1527" spans="1:32" s="20" customFormat="1" ht="27.75" customHeight="1">
      <c r="A1527" s="726" t="s">
        <v>84</v>
      </c>
      <c r="B1527" s="727" t="s">
        <v>411</v>
      </c>
      <c r="C1527" s="728"/>
      <c r="D1527" s="728"/>
      <c r="E1527" s="729"/>
      <c r="F1527" s="730" t="s">
        <v>412</v>
      </c>
      <c r="G1527" s="730"/>
      <c r="H1527" s="730"/>
      <c r="I1527" s="730"/>
      <c r="J1527" s="730"/>
      <c r="K1527" s="730"/>
      <c r="L1527" s="730" t="s">
        <v>413</v>
      </c>
      <c r="M1527" s="730"/>
      <c r="N1527" s="730"/>
      <c r="O1527" s="730"/>
      <c r="P1527" s="730"/>
      <c r="Q1527" s="730"/>
      <c r="R1527" s="731" t="s">
        <v>414</v>
      </c>
      <c r="S1527" s="731"/>
      <c r="T1527" s="731"/>
      <c r="U1527" s="731"/>
      <c r="V1527" s="27"/>
    </row>
    <row r="1528" spans="1:32" s="20" customFormat="1" ht="20.25" customHeight="1">
      <c r="A1528" s="732"/>
      <c r="B1528" s="733">
        <f>B1373</f>
        <v>2017</v>
      </c>
      <c r="C1528" s="734"/>
      <c r="D1528" s="734"/>
      <c r="E1528" s="735"/>
      <c r="F1528" s="731" t="s">
        <v>415</v>
      </c>
      <c r="G1528" s="731"/>
      <c r="H1528" s="731"/>
      <c r="I1528" s="731" t="s">
        <v>416</v>
      </c>
      <c r="J1528" s="731"/>
      <c r="K1528" s="731"/>
      <c r="L1528" s="731" t="s">
        <v>415</v>
      </c>
      <c r="M1528" s="731"/>
      <c r="N1528" s="731"/>
      <c r="O1528" s="736" t="s">
        <v>416</v>
      </c>
      <c r="P1528" s="736"/>
      <c r="Q1528" s="736"/>
      <c r="R1528" s="733">
        <f>R1373</f>
        <v>2017</v>
      </c>
      <c r="S1528" s="734"/>
      <c r="T1528" s="734"/>
      <c r="U1528" s="735"/>
      <c r="V1528" s="804"/>
      <c r="W1528" s="805"/>
      <c r="X1528" s="805"/>
      <c r="Y1528" s="208" t="s">
        <v>417</v>
      </c>
      <c r="Z1528" s="805"/>
      <c r="AA1528" s="805"/>
      <c r="AB1528" s="805"/>
      <c r="AC1528" s="712" t="s">
        <v>404</v>
      </c>
      <c r="AD1528" s="713"/>
      <c r="AE1528" s="713"/>
      <c r="AF1528" s="806"/>
    </row>
    <row r="1529" spans="1:32" s="20" customFormat="1" ht="45.75" customHeight="1">
      <c r="A1529" s="771" t="str">
        <f>C1522</f>
        <v>Konstruksi Dalam Pengerjaan</v>
      </c>
      <c r="B1529" s="757">
        <f>'[1]4.NERACA'!D132</f>
        <v>0</v>
      </c>
      <c r="C1529" s="758"/>
      <c r="D1529" s="758"/>
      <c r="E1529" s="759"/>
      <c r="F1529" s="917">
        <f>'[1]4.NERACA'!E132</f>
        <v>0</v>
      </c>
      <c r="G1529" s="917"/>
      <c r="H1529" s="917"/>
      <c r="I1529" s="917">
        <f>'[1]4.NERACA'!F132</f>
        <v>0</v>
      </c>
      <c r="J1529" s="917"/>
      <c r="K1529" s="917"/>
      <c r="L1529" s="917">
        <f>'[1]4.NERACA'!G132</f>
        <v>0</v>
      </c>
      <c r="M1529" s="917"/>
      <c r="N1529" s="917"/>
      <c r="O1529" s="917">
        <f>'[1]4.NERACA'!H131</f>
        <v>0</v>
      </c>
      <c r="P1529" s="917"/>
      <c r="Q1529" s="917"/>
      <c r="R1529" s="917">
        <f>B1529+F1529-I1529+L1529-O1529</f>
        <v>0</v>
      </c>
      <c r="S1529" s="917"/>
      <c r="T1529" s="917"/>
      <c r="U1529" s="917"/>
      <c r="V1529" s="808"/>
      <c r="W1529" s="805"/>
      <c r="X1529" s="805"/>
      <c r="Y1529" s="208">
        <v>0</v>
      </c>
      <c r="Z1529" s="805"/>
      <c r="AA1529" s="805"/>
      <c r="AB1529" s="805"/>
      <c r="AC1529" s="451">
        <f>R1529-B1529</f>
        <v>0</v>
      </c>
      <c r="AD1529" s="452"/>
      <c r="AE1529" s="452"/>
      <c r="AF1529" s="453"/>
    </row>
    <row r="1530" spans="1:32" s="20" customFormat="1" ht="30" customHeight="1">
      <c r="A1530" s="14"/>
      <c r="B1530" s="842"/>
      <c r="C1530" s="842"/>
      <c r="D1530" s="842"/>
      <c r="E1530" s="842"/>
      <c r="F1530" s="842"/>
      <c r="G1530" s="842"/>
      <c r="H1530" s="842"/>
      <c r="I1530" s="842"/>
      <c r="J1530" s="842"/>
      <c r="K1530" s="842"/>
      <c r="L1530" s="842"/>
      <c r="M1530" s="842"/>
      <c r="N1530" s="843"/>
      <c r="O1530" s="843"/>
      <c r="P1530" s="843"/>
      <c r="Q1530" s="843"/>
      <c r="R1530" s="843"/>
      <c r="S1530" s="843"/>
      <c r="T1530" s="843"/>
      <c r="U1530" s="843"/>
      <c r="V1530" s="27"/>
    </row>
    <row r="1531" spans="1:32" s="20" customFormat="1" ht="38.25" customHeight="1">
      <c r="A1531" s="7"/>
      <c r="B1531" s="309" t="s">
        <v>460</v>
      </c>
      <c r="C1531" s="309"/>
      <c r="D1531" s="309"/>
      <c r="E1531" s="309"/>
      <c r="F1531" s="309"/>
      <c r="G1531" s="309"/>
      <c r="H1531" s="309"/>
      <c r="I1531" s="309"/>
      <c r="J1531" s="309"/>
      <c r="K1531" s="309"/>
      <c r="L1531" s="309"/>
      <c r="M1531" s="309"/>
      <c r="N1531" s="309"/>
      <c r="O1531" s="309"/>
      <c r="P1531" s="309"/>
      <c r="Q1531" s="309"/>
      <c r="R1531" s="309"/>
      <c r="S1531" s="309"/>
      <c r="T1531" s="309"/>
      <c r="U1531" s="309"/>
      <c r="V1531" s="27"/>
    </row>
    <row r="1532" spans="1:32" s="20" customFormat="1" ht="10.5" customHeight="1">
      <c r="A1532" s="14"/>
      <c r="B1532" s="164"/>
      <c r="C1532" s="164"/>
      <c r="D1532" s="164"/>
      <c r="E1532" s="164"/>
      <c r="F1532" s="164"/>
      <c r="G1532" s="164"/>
      <c r="H1532" s="164"/>
      <c r="I1532" s="164"/>
      <c r="J1532" s="164"/>
      <c r="K1532" s="164"/>
      <c r="L1532" s="164"/>
      <c r="M1532" s="164"/>
      <c r="N1532" s="164"/>
      <c r="O1532" s="164"/>
      <c r="P1532" s="164"/>
      <c r="Q1532" s="164"/>
      <c r="R1532" s="164"/>
      <c r="S1532" s="164"/>
      <c r="T1532" s="46"/>
      <c r="U1532" s="46"/>
      <c r="V1532" s="27"/>
    </row>
    <row r="1533" spans="1:32" s="20" customFormat="1" ht="26.25" customHeight="1">
      <c r="A1533" s="30"/>
      <c r="B1533" s="871" t="s">
        <v>461</v>
      </c>
      <c r="C1533" s="725" t="s">
        <v>408</v>
      </c>
      <c r="D1533" s="725"/>
      <c r="E1533" s="725"/>
      <c r="F1533" s="725"/>
      <c r="G1533" s="725"/>
      <c r="H1533" s="725"/>
      <c r="I1533" s="725"/>
      <c r="J1533" s="725"/>
      <c r="K1533" s="725"/>
      <c r="L1533" s="725"/>
      <c r="M1533" s="725"/>
      <c r="N1533" s="725"/>
      <c r="O1533" s="725"/>
      <c r="P1533" s="725"/>
      <c r="Q1533" s="725"/>
      <c r="R1533" s="725"/>
      <c r="S1533" s="725"/>
      <c r="T1533" s="725"/>
      <c r="U1533" s="725"/>
      <c r="V1533" s="27"/>
    </row>
    <row r="1534" spans="1:32" s="20" customFormat="1" ht="69" customHeight="1">
      <c r="A1534" s="30"/>
      <c r="C1534" s="313" t="str">
        <f>"Nilai "&amp;C1533&amp;"  per "&amp;'[1]2.ISIAN DATA SKPD'!D8&amp;" dan  "&amp;'[1]2.ISIAN DATA SKPD'!D12&amp;" adalah sebesar Rp. "&amp;FIXED(-R1540)&amp;" dan Rp. "&amp;FIXED(-B1540)&amp;" mengalami kenaikan sebesar Rp. "&amp;FIXED(AC1540)&amp;" atau sebesar "&amp;FIXED(Y1540)&amp;"% dari tahun "&amp;'[1]2.ISIAN DATA SKPD'!D12&amp;"."</f>
        <v>Nilai Akumulasi Penyusutan Aset Tetap  per 31 Desember 2017 dan  2016 adalah sebesar Rp. 960,760,718,695.97 dan Rp. 858,804,424,594.97 mengalami kenaikan sebesar Rp. -101,956,294,101.00 atau sebesar 89.39% dari tahun 2016.</v>
      </c>
      <c r="D1534" s="313"/>
      <c r="E1534" s="313"/>
      <c r="F1534" s="313"/>
      <c r="G1534" s="313"/>
      <c r="H1534" s="313"/>
      <c r="I1534" s="313"/>
      <c r="J1534" s="313"/>
      <c r="K1534" s="313"/>
      <c r="L1534" s="313"/>
      <c r="M1534" s="313"/>
      <c r="N1534" s="313"/>
      <c r="O1534" s="313"/>
      <c r="P1534" s="313"/>
      <c r="Q1534" s="313"/>
      <c r="R1534" s="313"/>
      <c r="S1534" s="313"/>
      <c r="T1534" s="313"/>
      <c r="U1534" s="313"/>
      <c r="V1534" s="27"/>
    </row>
    <row r="1535" spans="1:32" s="20" customFormat="1" ht="65.25" customHeight="1">
      <c r="A1535" s="30"/>
      <c r="C1535" s="313" t="s">
        <v>462</v>
      </c>
      <c r="D1535" s="313"/>
      <c r="E1535" s="313"/>
      <c r="F1535" s="313"/>
      <c r="G1535" s="313"/>
      <c r="H1535" s="313"/>
      <c r="I1535" s="313"/>
      <c r="J1535" s="313"/>
      <c r="K1535" s="313"/>
      <c r="L1535" s="313"/>
      <c r="M1535" s="313"/>
      <c r="N1535" s="313"/>
      <c r="O1535" s="313"/>
      <c r="P1535" s="313"/>
      <c r="Q1535" s="313"/>
      <c r="R1535" s="313"/>
      <c r="S1535" s="313"/>
      <c r="T1535" s="313"/>
      <c r="U1535" s="313"/>
      <c r="V1535" s="27"/>
    </row>
    <row r="1536" spans="1:32" s="20" customFormat="1" ht="33" customHeight="1">
      <c r="A1536" s="14"/>
      <c r="C1536" s="313" t="str">
        <f>"Mutasi transaksi terhadap "&amp;C1533&amp;" pada tanggal pelaporan adalah sebagai berikut:"</f>
        <v>Mutasi transaksi terhadap Akumulasi Penyusutan Aset Tetap pada tanggal pelaporan adalah sebagai berikut:</v>
      </c>
      <c r="D1536" s="313"/>
      <c r="E1536" s="313"/>
      <c r="F1536" s="313"/>
      <c r="G1536" s="313"/>
      <c r="H1536" s="313"/>
      <c r="I1536" s="313"/>
      <c r="J1536" s="313"/>
      <c r="K1536" s="313"/>
      <c r="L1536" s="313"/>
      <c r="M1536" s="313"/>
      <c r="N1536" s="313"/>
      <c r="O1536" s="313"/>
      <c r="P1536" s="313"/>
      <c r="Q1536" s="313"/>
      <c r="R1536" s="313"/>
      <c r="S1536" s="313"/>
      <c r="T1536" s="313"/>
      <c r="U1536" s="313"/>
      <c r="V1536" s="27"/>
    </row>
    <row r="1537" spans="1:32" s="20" customFormat="1" ht="8.25" customHeight="1">
      <c r="A1537" s="14"/>
      <c r="C1537" s="882"/>
      <c r="D1537" s="882"/>
      <c r="E1537" s="882"/>
      <c r="F1537" s="882"/>
      <c r="G1537" s="882"/>
      <c r="H1537" s="882"/>
      <c r="I1537" s="882"/>
      <c r="J1537" s="882"/>
      <c r="K1537" s="882"/>
      <c r="L1537" s="882"/>
      <c r="M1537" s="882"/>
      <c r="N1537" s="882"/>
      <c r="O1537" s="882"/>
      <c r="P1537" s="882"/>
      <c r="Q1537" s="882"/>
      <c r="R1537" s="882"/>
      <c r="S1537" s="882"/>
      <c r="T1537" s="882"/>
      <c r="U1537" s="882"/>
      <c r="V1537" s="27"/>
    </row>
    <row r="1538" spans="1:32" s="20" customFormat="1" ht="16.5" customHeight="1">
      <c r="A1538" s="726" t="s">
        <v>84</v>
      </c>
      <c r="B1538" s="573" t="s">
        <v>411</v>
      </c>
      <c r="C1538" s="457"/>
      <c r="D1538" s="457"/>
      <c r="E1538" s="458"/>
      <c r="F1538" s="786" t="s">
        <v>412</v>
      </c>
      <c r="G1538" s="786"/>
      <c r="H1538" s="786"/>
      <c r="I1538" s="786"/>
      <c r="J1538" s="786"/>
      <c r="K1538" s="786"/>
      <c r="L1538" s="786" t="s">
        <v>413</v>
      </c>
      <c r="M1538" s="786"/>
      <c r="N1538" s="786"/>
      <c r="O1538" s="786"/>
      <c r="P1538" s="786"/>
      <c r="Q1538" s="786"/>
      <c r="R1538" s="99" t="s">
        <v>414</v>
      </c>
      <c r="S1538" s="99"/>
      <c r="T1538" s="99"/>
      <c r="U1538" s="99"/>
      <c r="V1538" s="27"/>
    </row>
    <row r="1539" spans="1:32" s="20" customFormat="1" ht="17.25" customHeight="1">
      <c r="A1539" s="732"/>
      <c r="B1539" s="918">
        <f>B1373</f>
        <v>2017</v>
      </c>
      <c r="C1539" s="919"/>
      <c r="D1539" s="919"/>
      <c r="E1539" s="920"/>
      <c r="F1539" s="99" t="s">
        <v>415</v>
      </c>
      <c r="G1539" s="99"/>
      <c r="H1539" s="99"/>
      <c r="I1539" s="99" t="s">
        <v>416</v>
      </c>
      <c r="J1539" s="99"/>
      <c r="K1539" s="99"/>
      <c r="L1539" s="99" t="s">
        <v>415</v>
      </c>
      <c r="M1539" s="99"/>
      <c r="N1539" s="99"/>
      <c r="O1539" s="790" t="s">
        <v>416</v>
      </c>
      <c r="P1539" s="790"/>
      <c r="Q1539" s="790"/>
      <c r="R1539" s="733">
        <f>R1373</f>
        <v>2017</v>
      </c>
      <c r="S1539" s="734"/>
      <c r="T1539" s="734"/>
      <c r="U1539" s="735"/>
      <c r="V1539" s="804"/>
      <c r="W1539" s="805"/>
      <c r="X1539" s="805"/>
      <c r="Y1539" s="208" t="s">
        <v>417</v>
      </c>
      <c r="Z1539" s="805"/>
      <c r="AA1539" s="805"/>
      <c r="AB1539" s="805"/>
      <c r="AC1539" s="712" t="s">
        <v>404</v>
      </c>
      <c r="AD1539" s="713"/>
      <c r="AE1539" s="713"/>
      <c r="AF1539" s="806"/>
    </row>
    <row r="1540" spans="1:32" s="20" customFormat="1" ht="41.25" customHeight="1">
      <c r="A1540" s="771" t="str">
        <f>C1533</f>
        <v>Akumulasi Penyusutan Aset Tetap</v>
      </c>
      <c r="B1540" s="876">
        <f>'[1]4.NERACA'!D134</f>
        <v>-858804424594.96997</v>
      </c>
      <c r="C1540" s="877"/>
      <c r="D1540" s="877"/>
      <c r="E1540" s="878"/>
      <c r="F1540" s="921">
        <f>'[1]4.NERACA'!E134</f>
        <v>-149673</v>
      </c>
      <c r="G1540" s="921"/>
      <c r="H1540" s="921"/>
      <c r="I1540" s="921">
        <f>'[1]4.NERACA'!F134</f>
        <v>0</v>
      </c>
      <c r="J1540" s="921"/>
      <c r="K1540" s="921"/>
      <c r="L1540" s="921">
        <f>'[1]4.NERACA'!G134</f>
        <v>-104332919669</v>
      </c>
      <c r="M1540" s="921"/>
      <c r="N1540" s="921"/>
      <c r="O1540" s="921">
        <f>'[1]4.NERACA'!H134</f>
        <v>-2376775241</v>
      </c>
      <c r="P1540" s="921"/>
      <c r="Q1540" s="921"/>
      <c r="R1540" s="921">
        <f>B1540+F1540-I1540+L1540-O1540</f>
        <v>-960760718695.96997</v>
      </c>
      <c r="S1540" s="921"/>
      <c r="T1540" s="921"/>
      <c r="U1540" s="921"/>
      <c r="V1540" s="808"/>
      <c r="W1540" s="805"/>
      <c r="X1540" s="805"/>
      <c r="Y1540" s="208">
        <f>B1540/R1540*100</f>
        <v>89.387961839303316</v>
      </c>
      <c r="Z1540" s="805"/>
      <c r="AA1540" s="805"/>
      <c r="AB1540" s="805"/>
      <c r="AC1540" s="451">
        <f>R1540-B1540</f>
        <v>-101956294101</v>
      </c>
      <c r="AD1540" s="452"/>
      <c r="AE1540" s="452"/>
      <c r="AF1540" s="453"/>
    </row>
    <row r="1541" spans="1:32" s="20" customFormat="1" ht="22.5" customHeight="1">
      <c r="A1541" s="14"/>
      <c r="B1541" s="164"/>
      <c r="C1541" s="164"/>
      <c r="D1541" s="164"/>
      <c r="E1541" s="164"/>
      <c r="F1541" s="164"/>
      <c r="G1541" s="164"/>
      <c r="H1541" s="164"/>
      <c r="I1541" s="164"/>
      <c r="J1541" s="164"/>
      <c r="K1541" s="164"/>
      <c r="L1541" s="164"/>
      <c r="M1541" s="164"/>
      <c r="N1541" s="164"/>
      <c r="O1541" s="164"/>
      <c r="P1541" s="164"/>
      <c r="Q1541" s="164"/>
      <c r="R1541" s="164"/>
      <c r="S1541" s="164"/>
      <c r="T1541" s="164"/>
      <c r="U1541" s="164"/>
      <c r="V1541" s="27"/>
    </row>
    <row r="1542" spans="1:32" s="20" customFormat="1" ht="36.75" customHeight="1">
      <c r="A1542" s="14"/>
      <c r="B1542" s="568" t="str">
        <f>"Rincian Akumulasi Penyusutan Aset Tetap per "&amp;'[1]2.ISIAN DATA SKPD'!D8&amp;" adalah sebagai berikut:"</f>
        <v>Rincian Akumulasi Penyusutan Aset Tetap per 31 Desember 2017 adalah sebagai berikut:</v>
      </c>
      <c r="C1542" s="568"/>
      <c r="D1542" s="568"/>
      <c r="E1542" s="568"/>
      <c r="F1542" s="568"/>
      <c r="G1542" s="568"/>
      <c r="H1542" s="568"/>
      <c r="I1542" s="568"/>
      <c r="J1542" s="568"/>
      <c r="K1542" s="568"/>
      <c r="L1542" s="568"/>
      <c r="M1542" s="568"/>
      <c r="N1542" s="568"/>
      <c r="O1542" s="568"/>
      <c r="P1542" s="568"/>
      <c r="Q1542" s="568"/>
      <c r="R1542" s="568"/>
      <c r="S1542" s="568"/>
      <c r="T1542" s="568"/>
      <c r="U1542" s="568"/>
      <c r="V1542" s="27"/>
    </row>
    <row r="1543" spans="1:32" s="20" customFormat="1" ht="25.5" customHeight="1">
      <c r="A1543" s="14"/>
      <c r="B1543" s="922" t="s">
        <v>311</v>
      </c>
      <c r="C1543" s="303" t="s">
        <v>403</v>
      </c>
      <c r="D1543" s="304"/>
      <c r="E1543" s="304"/>
      <c r="F1543" s="304"/>
      <c r="G1543" s="304"/>
      <c r="H1543" s="304"/>
      <c r="I1543" s="305"/>
      <c r="J1543" s="132" t="s">
        <v>463</v>
      </c>
      <c r="K1543" s="132"/>
      <c r="L1543" s="132"/>
      <c r="M1543" s="132"/>
      <c r="N1543" s="132" t="s">
        <v>464</v>
      </c>
      <c r="O1543" s="132"/>
      <c r="P1543" s="132"/>
      <c r="Q1543" s="132"/>
      <c r="R1543" s="132" t="s">
        <v>465</v>
      </c>
      <c r="S1543" s="132"/>
      <c r="T1543" s="132"/>
      <c r="U1543" s="132"/>
      <c r="V1543" s="27"/>
    </row>
    <row r="1544" spans="1:32" s="20" customFormat="1" ht="17.25" customHeight="1">
      <c r="A1544" s="14"/>
      <c r="B1544" s="923">
        <v>1</v>
      </c>
      <c r="C1544" s="714" t="s">
        <v>406</v>
      </c>
      <c r="D1544" s="715"/>
      <c r="E1544" s="715"/>
      <c r="F1544" s="715"/>
      <c r="G1544" s="715"/>
      <c r="H1544" s="715"/>
      <c r="I1544" s="716"/>
      <c r="J1544" s="924">
        <f>'[1]4.NERACA'!I76</f>
        <v>10668719670</v>
      </c>
      <c r="K1544" s="924"/>
      <c r="L1544" s="924"/>
      <c r="M1544" s="924"/>
      <c r="N1544" s="924">
        <f>'[1]4.NERACA'!I135</f>
        <v>-5781533596.1999998</v>
      </c>
      <c r="O1544" s="924"/>
      <c r="P1544" s="924"/>
      <c r="Q1544" s="924"/>
      <c r="R1544" s="924">
        <f>J1544+N1544</f>
        <v>4887186073.8000002</v>
      </c>
      <c r="S1544" s="924"/>
      <c r="T1544" s="924"/>
      <c r="U1544" s="924"/>
      <c r="V1544" s="27"/>
    </row>
    <row r="1545" spans="1:32" s="20" customFormat="1" ht="29.25" customHeight="1">
      <c r="A1545" s="14"/>
      <c r="B1545" s="923">
        <v>2</v>
      </c>
      <c r="C1545" s="714" t="s">
        <v>256</v>
      </c>
      <c r="D1545" s="715"/>
      <c r="E1545" s="715"/>
      <c r="F1545" s="715"/>
      <c r="G1545" s="715"/>
      <c r="H1545" s="715"/>
      <c r="I1545" s="716"/>
      <c r="J1545" s="924">
        <f>'[1]4.NERACA'!I102</f>
        <v>11206825886</v>
      </c>
      <c r="K1545" s="924"/>
      <c r="L1545" s="924"/>
      <c r="M1545" s="924"/>
      <c r="N1545" s="924">
        <f>'[1]4.NERACA'!I136</f>
        <v>-1555455574</v>
      </c>
      <c r="O1545" s="924"/>
      <c r="P1545" s="924"/>
      <c r="Q1545" s="924"/>
      <c r="R1545" s="924">
        <f>J1545+N1545</f>
        <v>9651370312</v>
      </c>
      <c r="S1545" s="924"/>
      <c r="T1545" s="924"/>
      <c r="U1545" s="924"/>
      <c r="V1545" s="27"/>
      <c r="Z1545" s="20">
        <f>N1548/J1548*100</f>
        <v>-60.74013400482157</v>
      </c>
    </row>
    <row r="1546" spans="1:32" s="20" customFormat="1" ht="28.5" customHeight="1">
      <c r="A1546" s="14"/>
      <c r="B1546" s="923">
        <v>3</v>
      </c>
      <c r="C1546" s="714" t="s">
        <v>466</v>
      </c>
      <c r="D1546" s="715"/>
      <c r="E1546" s="715"/>
      <c r="F1546" s="715"/>
      <c r="G1546" s="715"/>
      <c r="H1546" s="715"/>
      <c r="I1546" s="716"/>
      <c r="J1546" s="924">
        <f>'[1]4.NERACA'!I112</f>
        <v>1559880462127</v>
      </c>
      <c r="K1546" s="924"/>
      <c r="L1546" s="924"/>
      <c r="M1546" s="924"/>
      <c r="N1546" s="924">
        <f>'[1]4.NERACA'!I137</f>
        <v>-953423729525.77002</v>
      </c>
      <c r="O1546" s="924"/>
      <c r="P1546" s="924"/>
      <c r="Q1546" s="924"/>
      <c r="R1546" s="924">
        <f>J1546+N1546</f>
        <v>606456732601.22998</v>
      </c>
      <c r="S1546" s="924"/>
      <c r="T1546" s="924"/>
      <c r="U1546" s="924"/>
      <c r="V1546" s="27"/>
    </row>
    <row r="1547" spans="1:32" s="20" customFormat="1" ht="18" customHeight="1">
      <c r="A1547" s="7"/>
      <c r="B1547" s="923">
        <v>4</v>
      </c>
      <c r="C1547" s="714" t="s">
        <v>267</v>
      </c>
      <c r="D1547" s="715"/>
      <c r="E1547" s="715"/>
      <c r="F1547" s="715"/>
      <c r="G1547" s="715"/>
      <c r="H1547" s="715"/>
      <c r="I1547" s="716"/>
      <c r="J1547" s="924">
        <f>'[1]4.NERACA'!I123</f>
        <v>0</v>
      </c>
      <c r="K1547" s="924"/>
      <c r="L1547" s="924"/>
      <c r="M1547" s="924"/>
      <c r="N1547" s="924">
        <f>'[1]4.NERACA'!I138</f>
        <v>0</v>
      </c>
      <c r="O1547" s="924"/>
      <c r="P1547" s="924"/>
      <c r="Q1547" s="924"/>
      <c r="R1547" s="924">
        <f>J1547+N1547</f>
        <v>0</v>
      </c>
      <c r="S1547" s="924"/>
      <c r="T1547" s="924"/>
      <c r="U1547" s="924"/>
      <c r="V1547" s="27"/>
    </row>
    <row r="1548" spans="1:32" s="20" customFormat="1" ht="30.75" customHeight="1">
      <c r="A1548" s="7"/>
      <c r="B1548" s="303" t="s">
        <v>464</v>
      </c>
      <c r="C1548" s="304"/>
      <c r="D1548" s="304"/>
      <c r="E1548" s="304"/>
      <c r="F1548" s="304"/>
      <c r="G1548" s="304"/>
      <c r="H1548" s="304"/>
      <c r="I1548" s="305"/>
      <c r="J1548" s="925">
        <f>SUM(J1544:M1547)</f>
        <v>1581756007683</v>
      </c>
      <c r="K1548" s="925"/>
      <c r="L1548" s="925"/>
      <c r="M1548" s="925"/>
      <c r="N1548" s="925">
        <f>SUM(N1544:Q1547)</f>
        <v>-960760718695.96997</v>
      </c>
      <c r="O1548" s="925"/>
      <c r="P1548" s="925"/>
      <c r="Q1548" s="925"/>
      <c r="R1548" s="925">
        <f>SUM(R1544:U1547)</f>
        <v>620995288987.03003</v>
      </c>
      <c r="S1548" s="925"/>
      <c r="T1548" s="925"/>
      <c r="U1548" s="925"/>
      <c r="V1548" s="27"/>
    </row>
    <row r="1549" spans="1:32" s="20" customFormat="1" ht="18" customHeight="1">
      <c r="A1549" s="7"/>
      <c r="B1549" s="164"/>
      <c r="C1549" s="164"/>
      <c r="D1549" s="164"/>
      <c r="E1549" s="164"/>
      <c r="F1549" s="164"/>
      <c r="G1549" s="164"/>
      <c r="H1549" s="164"/>
      <c r="I1549" s="164"/>
      <c r="J1549" s="164"/>
      <c r="K1549" s="164"/>
      <c r="L1549" s="164"/>
      <c r="M1549" s="164"/>
      <c r="N1549" s="164"/>
      <c r="O1549" s="164"/>
      <c r="P1549" s="164"/>
      <c r="Q1549" s="164"/>
      <c r="R1549" s="164"/>
      <c r="S1549" s="164"/>
      <c r="T1549" s="46"/>
      <c r="U1549" s="46"/>
      <c r="V1549" s="27"/>
    </row>
    <row r="1550" spans="1:32" s="20" customFormat="1" ht="33" customHeight="1">
      <c r="A1550" s="14"/>
      <c r="B1550" s="309" t="s">
        <v>467</v>
      </c>
      <c r="C1550" s="309"/>
      <c r="D1550" s="309"/>
      <c r="E1550" s="309"/>
      <c r="F1550" s="309"/>
      <c r="G1550" s="309"/>
      <c r="H1550" s="309"/>
      <c r="I1550" s="309"/>
      <c r="J1550" s="309"/>
      <c r="K1550" s="309"/>
      <c r="L1550" s="309"/>
      <c r="M1550" s="309"/>
      <c r="N1550" s="309"/>
      <c r="O1550" s="309"/>
      <c r="P1550" s="309"/>
      <c r="Q1550" s="309"/>
      <c r="R1550" s="309"/>
      <c r="S1550" s="309"/>
      <c r="T1550" s="309"/>
      <c r="U1550" s="309"/>
      <c r="V1550" s="27"/>
    </row>
    <row r="1551" spans="1:32" s="20" customFormat="1" ht="9.75" customHeight="1">
      <c r="A1551" s="14"/>
      <c r="B1551" s="164"/>
      <c r="C1551" s="164"/>
      <c r="D1551" s="164"/>
      <c r="E1551" s="164"/>
      <c r="F1551" s="164"/>
      <c r="G1551" s="164"/>
      <c r="H1551" s="164"/>
      <c r="I1551" s="164"/>
      <c r="J1551" s="164"/>
      <c r="K1551" s="164"/>
      <c r="L1551" s="164"/>
      <c r="M1551" s="164"/>
      <c r="N1551" s="164"/>
      <c r="O1551" s="164"/>
      <c r="P1551" s="164"/>
      <c r="Q1551" s="164"/>
      <c r="R1551" s="164"/>
      <c r="S1551" s="164"/>
      <c r="T1551" s="164"/>
      <c r="U1551" s="164"/>
      <c r="V1551" s="27"/>
    </row>
    <row r="1552" spans="1:32" s="20" customFormat="1" ht="19.5" customHeight="1">
      <c r="A1552" s="14"/>
      <c r="B1552" s="926" t="s">
        <v>468</v>
      </c>
      <c r="C1552" s="698" t="s">
        <v>469</v>
      </c>
      <c r="D1552" s="698"/>
      <c r="E1552" s="698"/>
      <c r="F1552" s="698"/>
      <c r="G1552" s="698"/>
      <c r="H1552" s="698"/>
      <c r="I1552" s="698"/>
      <c r="J1552" s="698"/>
      <c r="K1552" s="698"/>
      <c r="L1552" s="698"/>
      <c r="M1552" s="698"/>
      <c r="N1552" s="698"/>
      <c r="O1552" s="698"/>
      <c r="P1552" s="698"/>
      <c r="Q1552" s="698"/>
      <c r="R1552" s="698"/>
      <c r="S1552" s="698"/>
      <c r="T1552" s="698"/>
      <c r="U1552" s="698"/>
      <c r="V1552" s="27"/>
    </row>
    <row r="1553" spans="1:22" s="20" customFormat="1" ht="9.75" customHeight="1">
      <c r="A1553" s="14"/>
      <c r="B1553" s="164"/>
      <c r="C1553" s="425"/>
      <c r="D1553" s="425"/>
      <c r="E1553" s="425"/>
      <c r="F1553" s="425"/>
      <c r="G1553" s="425"/>
      <c r="H1553" s="425"/>
      <c r="I1553" s="425"/>
      <c r="J1553" s="425"/>
      <c r="K1553" s="425"/>
      <c r="L1553" s="425"/>
      <c r="M1553" s="425"/>
      <c r="N1553" s="425"/>
      <c r="O1553" s="425"/>
      <c r="P1553" s="425"/>
      <c r="Q1553" s="425"/>
      <c r="R1553" s="425"/>
      <c r="S1553" s="425"/>
      <c r="T1553" s="425"/>
      <c r="U1553" s="425"/>
      <c r="V1553" s="27"/>
    </row>
    <row r="1554" spans="1:22" s="20" customFormat="1" ht="18" customHeight="1">
      <c r="A1554" s="14"/>
      <c r="B1554" s="927" t="s">
        <v>470</v>
      </c>
      <c r="C1554" s="491" t="s">
        <v>471</v>
      </c>
      <c r="D1554" s="491"/>
      <c r="E1554" s="491"/>
      <c r="F1554" s="491"/>
      <c r="G1554" s="491"/>
      <c r="H1554" s="491"/>
      <c r="I1554" s="491"/>
      <c r="J1554" s="491"/>
      <c r="K1554" s="491"/>
      <c r="L1554" s="491"/>
      <c r="M1554" s="491"/>
      <c r="N1554" s="491"/>
      <c r="O1554" s="491"/>
      <c r="P1554" s="491"/>
      <c r="Q1554" s="491"/>
      <c r="R1554" s="491"/>
      <c r="S1554" s="491"/>
      <c r="T1554" s="491"/>
      <c r="U1554" s="491"/>
      <c r="V1554" s="27"/>
    </row>
    <row r="1555" spans="1:22" s="20" customFormat="1" ht="16.5" customHeight="1">
      <c r="A1555" s="14"/>
      <c r="B1555" s="927"/>
      <c r="C1555" s="561"/>
      <c r="D1555" s="561"/>
      <c r="E1555" s="561"/>
      <c r="F1555" s="561"/>
      <c r="G1555" s="561"/>
      <c r="H1555" s="561"/>
      <c r="I1555" s="561"/>
      <c r="J1555" s="561"/>
      <c r="K1555" s="561"/>
      <c r="L1555" s="561"/>
      <c r="M1555" s="561"/>
      <c r="N1555" s="561"/>
      <c r="O1555" s="561"/>
      <c r="P1555" s="561"/>
      <c r="Q1555" s="561"/>
      <c r="R1555" s="561"/>
      <c r="S1555" s="561"/>
      <c r="T1555" s="561"/>
      <c r="U1555" s="561"/>
      <c r="V1555" s="27"/>
    </row>
    <row r="1556" spans="1:22" s="20" customFormat="1" ht="64.5" customHeight="1">
      <c r="A1556" s="14"/>
      <c r="B1556" s="164"/>
      <c r="C1556" s="358" t="str">
        <f>"Saldo "&amp;A1561&amp;" per "&amp;'[1]2.ISIAN DATA SKPD'!D8&amp;" dan "&amp;'[1]2.ISIAN DATA SKPD'!D12&amp;" adalah masing-masing sebesar Rp. "&amp;FIXED(R1561)&amp;" dan Rp. "&amp;FIXED(B1561)&amp;" mengalami kenaikan/penurunan sebesar Rp. "&amp;FIXED('[1]4.NERACA'!K141)&amp;" atau sebesar "&amp;FIXED('[1]4.NERACA'!J141)&amp;"% dari tahun "&amp;'[1]2.ISIAN DATA SKPD'!D12&amp;"."</f>
        <v>Saldo Aset Lainnya per 31 Desember 2017 dan 2016 adalah masing-masing sebesar Rp. 22,062,918,528.00 dan Rp. 83,612,607,295.00 mengalami kenaikan/penurunan sebesar Rp. 22,062,918,528.00 atau sebesar 0.00% dari tahun 2016.</v>
      </c>
      <c r="D1556" s="358"/>
      <c r="E1556" s="358"/>
      <c r="F1556" s="358"/>
      <c r="G1556" s="358"/>
      <c r="H1556" s="358"/>
      <c r="I1556" s="358"/>
      <c r="J1556" s="358"/>
      <c r="K1556" s="358"/>
      <c r="L1556" s="358"/>
      <c r="M1556" s="358"/>
      <c r="N1556" s="358"/>
      <c r="O1556" s="358"/>
      <c r="P1556" s="358"/>
      <c r="Q1556" s="358"/>
      <c r="R1556" s="358"/>
      <c r="S1556" s="358"/>
      <c r="T1556" s="358"/>
      <c r="U1556" s="358"/>
      <c r="V1556" s="37"/>
    </row>
    <row r="1557" spans="1:22" s="20" customFormat="1" ht="33" customHeight="1">
      <c r="A1557" s="14"/>
      <c r="B1557" s="164"/>
      <c r="C1557" s="313" t="str">
        <f>"Mutasi transaksi terhadap "&amp;A1561&amp;" pada tanggal pelaporan adalah sebagai berikut:"</f>
        <v>Mutasi transaksi terhadap Aset Lainnya pada tanggal pelaporan adalah sebagai berikut:</v>
      </c>
      <c r="D1557" s="313"/>
      <c r="E1557" s="313"/>
      <c r="F1557" s="313"/>
      <c r="G1557" s="313"/>
      <c r="H1557" s="313"/>
      <c r="I1557" s="313"/>
      <c r="J1557" s="313"/>
      <c r="K1557" s="313"/>
      <c r="L1557" s="313"/>
      <c r="M1557" s="313"/>
      <c r="N1557" s="313"/>
      <c r="O1557" s="313"/>
      <c r="P1557" s="313"/>
      <c r="Q1557" s="313"/>
      <c r="R1557" s="313"/>
      <c r="S1557" s="313"/>
      <c r="T1557" s="313"/>
      <c r="U1557" s="313"/>
      <c r="V1557" s="37"/>
    </row>
    <row r="1558" spans="1:22" s="20" customFormat="1" ht="12.75" customHeight="1">
      <c r="A1558" s="14"/>
      <c r="B1558" s="164"/>
      <c r="C1558" s="882"/>
      <c r="D1558" s="882"/>
      <c r="E1558" s="882"/>
      <c r="F1558" s="882"/>
      <c r="G1558" s="882"/>
      <c r="H1558" s="882"/>
      <c r="I1558" s="882"/>
      <c r="J1558" s="882"/>
      <c r="K1558" s="882"/>
      <c r="L1558" s="882"/>
      <c r="M1558" s="882"/>
      <c r="N1558" s="882"/>
      <c r="O1558" s="882"/>
      <c r="P1558" s="882"/>
      <c r="Q1558" s="882"/>
      <c r="R1558" s="882"/>
      <c r="S1558" s="882"/>
      <c r="T1558" s="882"/>
      <c r="U1558" s="882"/>
      <c r="V1558" s="37"/>
    </row>
    <row r="1559" spans="1:22" s="20" customFormat="1" ht="28.35" customHeight="1">
      <c r="A1559" s="726" t="s">
        <v>84</v>
      </c>
      <c r="B1559" s="573" t="s">
        <v>411</v>
      </c>
      <c r="C1559" s="457"/>
      <c r="D1559" s="457"/>
      <c r="E1559" s="458"/>
      <c r="F1559" s="786" t="s">
        <v>412</v>
      </c>
      <c r="G1559" s="786"/>
      <c r="H1559" s="786"/>
      <c r="I1559" s="786"/>
      <c r="J1559" s="786"/>
      <c r="K1559" s="786"/>
      <c r="L1559" s="786" t="s">
        <v>413</v>
      </c>
      <c r="M1559" s="786"/>
      <c r="N1559" s="786"/>
      <c r="O1559" s="786"/>
      <c r="P1559" s="786"/>
      <c r="Q1559" s="786"/>
      <c r="R1559" s="99" t="s">
        <v>414</v>
      </c>
      <c r="S1559" s="99"/>
      <c r="T1559" s="99"/>
      <c r="U1559" s="99"/>
      <c r="V1559" s="27"/>
    </row>
    <row r="1560" spans="1:22" s="20" customFormat="1" ht="28.35" customHeight="1">
      <c r="A1560" s="732"/>
      <c r="B1560" s="918">
        <f>B1373</f>
        <v>2017</v>
      </c>
      <c r="C1560" s="919"/>
      <c r="D1560" s="919"/>
      <c r="E1560" s="920"/>
      <c r="F1560" s="99" t="s">
        <v>415</v>
      </c>
      <c r="G1560" s="99"/>
      <c r="H1560" s="99"/>
      <c r="I1560" s="99" t="s">
        <v>416</v>
      </c>
      <c r="J1560" s="99"/>
      <c r="K1560" s="99"/>
      <c r="L1560" s="99" t="s">
        <v>415</v>
      </c>
      <c r="M1560" s="99"/>
      <c r="N1560" s="99"/>
      <c r="O1560" s="790" t="s">
        <v>416</v>
      </c>
      <c r="P1560" s="790"/>
      <c r="Q1560" s="790"/>
      <c r="R1560" s="733">
        <f>R1373</f>
        <v>2017</v>
      </c>
      <c r="S1560" s="734"/>
      <c r="T1560" s="734"/>
      <c r="U1560" s="735"/>
      <c r="V1560" s="27"/>
    </row>
    <row r="1561" spans="1:22" s="20" customFormat="1" ht="20.25" customHeight="1">
      <c r="A1561" s="771" t="s">
        <v>472</v>
      </c>
      <c r="B1561" s="837">
        <f>'[1]4.NERACA'!D141</f>
        <v>83612607295</v>
      </c>
      <c r="C1561" s="838"/>
      <c r="D1561" s="838"/>
      <c r="E1561" s="839"/>
      <c r="F1561" s="928">
        <f>'[1]4.NERACA'!E141</f>
        <v>0</v>
      </c>
      <c r="G1561" s="928"/>
      <c r="H1561" s="928"/>
      <c r="I1561" s="928">
        <f>'[1]4.NERACA'!F141</f>
        <v>47268380814</v>
      </c>
      <c r="J1561" s="928"/>
      <c r="K1561" s="928"/>
      <c r="L1561" s="928">
        <f>'[1]4.NERACA'!G141</f>
        <v>0</v>
      </c>
      <c r="M1561" s="928"/>
      <c r="N1561" s="928"/>
      <c r="O1561" s="928">
        <f>'[1]4.NERACA'!H141</f>
        <v>14281307953</v>
      </c>
      <c r="P1561" s="928"/>
      <c r="Q1561" s="928"/>
      <c r="R1561" s="928">
        <f>B1561+F1561-I1561+L1561-O1561</f>
        <v>22062918528</v>
      </c>
      <c r="S1561" s="928"/>
      <c r="T1561" s="928"/>
      <c r="U1561" s="928"/>
      <c r="V1561" s="27"/>
    </row>
    <row r="1562" spans="1:22" s="20" customFormat="1" ht="18" customHeight="1">
      <c r="A1562" s="14"/>
      <c r="B1562" s="842" t="s">
        <v>473</v>
      </c>
      <c r="C1562" s="842"/>
      <c r="D1562" s="842"/>
      <c r="E1562" s="842"/>
      <c r="F1562" s="842"/>
      <c r="G1562" s="842"/>
      <c r="H1562" s="842"/>
      <c r="I1562" s="842"/>
      <c r="J1562" s="842"/>
      <c r="K1562" s="842"/>
      <c r="L1562" s="842"/>
      <c r="M1562" s="842"/>
      <c r="N1562" s="842"/>
      <c r="O1562" s="842"/>
      <c r="P1562" s="842"/>
      <c r="Q1562" s="842"/>
      <c r="R1562" s="842"/>
      <c r="S1562" s="842"/>
      <c r="T1562" s="842"/>
      <c r="U1562" s="842"/>
      <c r="V1562" s="27"/>
    </row>
    <row r="1563" spans="1:22" s="20" customFormat="1" ht="14.25" customHeight="1">
      <c r="A1563" s="14"/>
      <c r="B1563" s="929" t="s">
        <v>474</v>
      </c>
      <c r="C1563" s="929"/>
      <c r="D1563" s="929"/>
      <c r="E1563" s="929"/>
      <c r="F1563" s="929"/>
      <c r="G1563" s="929"/>
      <c r="H1563" s="929"/>
      <c r="I1563" s="929"/>
      <c r="J1563" s="929"/>
      <c r="K1563" s="929"/>
      <c r="L1563" s="929"/>
      <c r="M1563" s="929"/>
      <c r="N1563" s="929"/>
      <c r="O1563" s="929"/>
      <c r="P1563" s="929"/>
      <c r="Q1563" s="929"/>
      <c r="R1563" s="929"/>
      <c r="S1563" s="929"/>
      <c r="T1563" s="929"/>
      <c r="U1563" s="929"/>
      <c r="V1563" s="27"/>
    </row>
    <row r="1564" spans="1:22" s="20" customFormat="1" ht="14.25" customHeight="1">
      <c r="A1564" s="14"/>
      <c r="B1564" s="930" t="s">
        <v>475</v>
      </c>
      <c r="C1564" s="930"/>
      <c r="D1564" s="930"/>
      <c r="E1564" s="930"/>
      <c r="F1564" s="930"/>
      <c r="G1564" s="930"/>
      <c r="H1564" s="930"/>
      <c r="I1564" s="930"/>
      <c r="J1564" s="930"/>
      <c r="K1564" s="930"/>
      <c r="L1564" s="930"/>
      <c r="M1564" s="930"/>
      <c r="N1564" s="930"/>
      <c r="O1564" s="930"/>
      <c r="P1564" s="930"/>
      <c r="Q1564" s="930"/>
      <c r="R1564" s="930"/>
      <c r="S1564" s="930"/>
      <c r="T1564" s="930"/>
      <c r="U1564" s="930"/>
      <c r="V1564" s="27"/>
    </row>
    <row r="1565" spans="1:22" s="20" customFormat="1" ht="20.25" customHeight="1">
      <c r="A1565" s="14"/>
      <c r="B1565" s="930" t="s">
        <v>476</v>
      </c>
      <c r="C1565" s="930"/>
      <c r="D1565" s="930"/>
      <c r="E1565" s="930"/>
      <c r="F1565" s="930"/>
      <c r="G1565" s="930"/>
      <c r="H1565" s="930"/>
      <c r="I1565" s="930"/>
      <c r="J1565" s="930"/>
      <c r="K1565" s="930"/>
      <c r="L1565" s="930"/>
      <c r="M1565" s="930"/>
      <c r="N1565" s="930"/>
      <c r="O1565" s="930"/>
      <c r="P1565" s="930"/>
      <c r="Q1565" s="930"/>
      <c r="R1565" s="930"/>
      <c r="S1565" s="930"/>
      <c r="T1565" s="930"/>
      <c r="U1565" s="930"/>
      <c r="V1565" s="27"/>
    </row>
    <row r="1566" spans="1:22" s="20" customFormat="1" ht="44.25" customHeight="1">
      <c r="A1566" s="30"/>
      <c r="C1566" s="313" t="str">
        <f>"Saldo Aset Tak Berwujud (ATB) per "&amp;'[1]2.ISIAN DATA SKPD'!D8&amp;" dan "&amp;'[1]2.ISIAN DATA SKPD'!D12&amp;" adalah Rp. "&amp;FIXED(R1571)&amp;" dan Rp. "&amp;FIXED(B1571)&amp;" mengalami kenaikan/penurunan sebesar Rp. "&amp;FIXED(AC1571)&amp;" atau sebesar "&amp;FIXED(Y1571)&amp;"% dari tahun "&amp;'[1]2.ISIAN DATA SKPD'!D12&amp;"."</f>
        <v>Saldo Aset Tak Berwujud (ATB) per 31 Desember 2017 dan 2016 adalah Rp. 0.00 dan Rp. 0.00 mengalami kenaikan/penurunan sebesar Rp. 0.00 atau sebesar 0.00% dari tahun 2016.</v>
      </c>
      <c r="D1566" s="313"/>
      <c r="E1566" s="313"/>
      <c r="F1566" s="313"/>
      <c r="G1566" s="313"/>
      <c r="H1566" s="313"/>
      <c r="I1566" s="313"/>
      <c r="J1566" s="313"/>
      <c r="K1566" s="313"/>
      <c r="L1566" s="313"/>
      <c r="M1566" s="313"/>
      <c r="N1566" s="313"/>
      <c r="O1566" s="313"/>
      <c r="P1566" s="313"/>
      <c r="Q1566" s="313"/>
      <c r="R1566" s="313"/>
      <c r="S1566" s="313"/>
      <c r="T1566" s="313"/>
      <c r="U1566" s="313"/>
      <c r="V1566" s="27"/>
    </row>
    <row r="1567" spans="1:22" s="20" customFormat="1" ht="48.75" customHeight="1">
      <c r="A1567" s="30"/>
      <c r="C1567" s="313" t="s">
        <v>477</v>
      </c>
      <c r="D1567" s="313"/>
      <c r="E1567" s="313"/>
      <c r="F1567" s="313"/>
      <c r="G1567" s="313"/>
      <c r="H1567" s="313"/>
      <c r="I1567" s="313"/>
      <c r="J1567" s="313"/>
      <c r="K1567" s="313"/>
      <c r="L1567" s="313"/>
      <c r="M1567" s="313"/>
      <c r="N1567" s="313"/>
      <c r="O1567" s="313"/>
      <c r="P1567" s="313"/>
      <c r="Q1567" s="313"/>
      <c r="R1567" s="313"/>
      <c r="S1567" s="313"/>
      <c r="T1567" s="313"/>
      <c r="U1567" s="313"/>
      <c r="V1567" s="27"/>
    </row>
    <row r="1568" spans="1:22" s="20" customFormat="1" ht="18.75" customHeight="1">
      <c r="A1568" s="14"/>
      <c r="V1568" s="27"/>
    </row>
    <row r="1569" spans="1:32" s="20" customFormat="1" ht="18.75" customHeight="1">
      <c r="A1569" s="726" t="s">
        <v>84</v>
      </c>
      <c r="B1569" s="727" t="s">
        <v>411</v>
      </c>
      <c r="C1569" s="728"/>
      <c r="D1569" s="728"/>
      <c r="E1569" s="729"/>
      <c r="F1569" s="730" t="s">
        <v>412</v>
      </c>
      <c r="G1569" s="730"/>
      <c r="H1569" s="730"/>
      <c r="I1569" s="730"/>
      <c r="J1569" s="730"/>
      <c r="K1569" s="730"/>
      <c r="L1569" s="730" t="s">
        <v>413</v>
      </c>
      <c r="M1569" s="730"/>
      <c r="N1569" s="730"/>
      <c r="O1569" s="730"/>
      <c r="P1569" s="730"/>
      <c r="Q1569" s="730"/>
      <c r="R1569" s="731" t="s">
        <v>414</v>
      </c>
      <c r="S1569" s="731"/>
      <c r="T1569" s="731"/>
      <c r="U1569" s="731"/>
      <c r="V1569" s="27"/>
    </row>
    <row r="1570" spans="1:32" s="20" customFormat="1" ht="21.75" customHeight="1">
      <c r="A1570" s="732"/>
      <c r="B1570" s="733">
        <f>B1560</f>
        <v>2017</v>
      </c>
      <c r="C1570" s="734"/>
      <c r="D1570" s="734"/>
      <c r="E1570" s="735"/>
      <c r="F1570" s="731" t="s">
        <v>415</v>
      </c>
      <c r="G1570" s="731"/>
      <c r="H1570" s="731"/>
      <c r="I1570" s="731" t="s">
        <v>416</v>
      </c>
      <c r="J1570" s="731"/>
      <c r="K1570" s="731"/>
      <c r="L1570" s="731" t="s">
        <v>415</v>
      </c>
      <c r="M1570" s="731"/>
      <c r="N1570" s="731"/>
      <c r="O1570" s="736" t="s">
        <v>416</v>
      </c>
      <c r="P1570" s="736"/>
      <c r="Q1570" s="736"/>
      <c r="R1570" s="733">
        <f>R1560</f>
        <v>2017</v>
      </c>
      <c r="S1570" s="734"/>
      <c r="T1570" s="734"/>
      <c r="U1570" s="735"/>
      <c r="V1570" s="804"/>
      <c r="W1570" s="805"/>
      <c r="X1570" s="805"/>
      <c r="Y1570" s="208" t="s">
        <v>417</v>
      </c>
      <c r="Z1570" s="805"/>
      <c r="AA1570" s="805"/>
      <c r="AB1570" s="805"/>
      <c r="AC1570" s="712" t="s">
        <v>404</v>
      </c>
      <c r="AD1570" s="713"/>
      <c r="AE1570" s="713"/>
      <c r="AF1570" s="806"/>
    </row>
    <row r="1571" spans="1:32" s="20" customFormat="1" ht="33" customHeight="1">
      <c r="A1571" s="771" t="s">
        <v>478</v>
      </c>
      <c r="B1571" s="757">
        <f>'[1]4.NERACA'!D148</f>
        <v>0</v>
      </c>
      <c r="C1571" s="758"/>
      <c r="D1571" s="758"/>
      <c r="E1571" s="759"/>
      <c r="F1571" s="931">
        <f>'[1]4.NERACA'!E148</f>
        <v>0</v>
      </c>
      <c r="G1571" s="931"/>
      <c r="H1571" s="931"/>
      <c r="I1571" s="931">
        <f>'[1]4.NERACA'!F148</f>
        <v>0</v>
      </c>
      <c r="J1571" s="931"/>
      <c r="K1571" s="931"/>
      <c r="L1571" s="931">
        <f>'[1]4.NERACA'!G148</f>
        <v>0</v>
      </c>
      <c r="M1571" s="931"/>
      <c r="N1571" s="931"/>
      <c r="O1571" s="931">
        <f>'[1]4.NERACA'!H148</f>
        <v>0</v>
      </c>
      <c r="P1571" s="931"/>
      <c r="Q1571" s="931"/>
      <c r="R1571" s="757">
        <f>B1571++F1571-I1571+L1571-O1571</f>
        <v>0</v>
      </c>
      <c r="S1571" s="758"/>
      <c r="T1571" s="758"/>
      <c r="U1571" s="759"/>
      <c r="V1571" s="808"/>
      <c r="W1571" s="805"/>
      <c r="X1571" s="805"/>
      <c r="Y1571" s="208">
        <v>0</v>
      </c>
      <c r="Z1571" s="805"/>
      <c r="AA1571" s="805"/>
      <c r="AB1571" s="805"/>
      <c r="AC1571" s="451">
        <f>R1571-B1571</f>
        <v>0</v>
      </c>
      <c r="AD1571" s="452"/>
      <c r="AE1571" s="452"/>
      <c r="AF1571" s="453"/>
    </row>
    <row r="1572" spans="1:32" s="20" customFormat="1" ht="30.75" customHeight="1">
      <c r="A1572" s="14"/>
      <c r="B1572" s="748"/>
      <c r="C1572" s="932" t="s">
        <v>479</v>
      </c>
      <c r="D1572" s="932"/>
      <c r="E1572" s="932"/>
      <c r="F1572" s="932"/>
      <c r="G1572" s="932"/>
      <c r="H1572" s="932"/>
      <c r="I1572" s="932"/>
      <c r="J1572" s="932"/>
      <c r="K1572" s="932"/>
      <c r="L1572" s="932"/>
      <c r="M1572" s="932"/>
      <c r="N1572" s="932"/>
      <c r="O1572" s="932"/>
      <c r="P1572" s="932"/>
      <c r="Q1572" s="932"/>
      <c r="R1572" s="932"/>
      <c r="S1572" s="932"/>
      <c r="T1572" s="932"/>
      <c r="U1572" s="932"/>
      <c r="V1572" s="27"/>
    </row>
    <row r="1573" spans="1:32" s="20" customFormat="1" ht="15.75" customHeight="1">
      <c r="A1573" s="14"/>
      <c r="B1573" s="518"/>
      <c r="C1573" s="933" t="s">
        <v>480</v>
      </c>
      <c r="D1573" s="933"/>
      <c r="E1573" s="933"/>
      <c r="F1573" s="933"/>
      <c r="G1573" s="933"/>
      <c r="H1573" s="933"/>
      <c r="I1573" s="933"/>
      <c r="J1573" s="933"/>
      <c r="K1573" s="933"/>
      <c r="L1573" s="934" t="s">
        <v>481</v>
      </c>
      <c r="M1573" s="934"/>
      <c r="N1573" s="934"/>
      <c r="O1573" s="934"/>
      <c r="P1573" s="934"/>
      <c r="Q1573" s="934"/>
      <c r="R1573" s="935"/>
      <c r="S1573" s="935"/>
      <c r="T1573" s="935"/>
      <c r="U1573" s="935"/>
      <c r="V1573" s="27"/>
    </row>
    <row r="1574" spans="1:32" s="20" customFormat="1" ht="30.75" customHeight="1">
      <c r="A1574" s="14"/>
      <c r="B1574" s="518"/>
      <c r="C1574" s="933" t="s">
        <v>482</v>
      </c>
      <c r="D1574" s="933"/>
      <c r="E1574" s="933"/>
      <c r="F1574" s="933"/>
      <c r="G1574" s="933"/>
      <c r="H1574" s="933"/>
      <c r="I1574" s="933"/>
      <c r="J1574" s="933"/>
      <c r="K1574" s="933"/>
      <c r="L1574" s="934" t="s">
        <v>481</v>
      </c>
      <c r="M1574" s="934"/>
      <c r="N1574" s="934"/>
      <c r="O1574" s="934"/>
      <c r="P1574" s="934"/>
      <c r="Q1574" s="934"/>
      <c r="R1574" s="935"/>
      <c r="S1574" s="935"/>
      <c r="T1574" s="935"/>
      <c r="U1574" s="935"/>
      <c r="V1574" s="27"/>
    </row>
    <row r="1575" spans="1:32" s="20" customFormat="1" ht="18.75" customHeight="1">
      <c r="A1575" s="14"/>
      <c r="B1575" s="518"/>
      <c r="C1575" s="933" t="s">
        <v>483</v>
      </c>
      <c r="D1575" s="933"/>
      <c r="E1575" s="933"/>
      <c r="F1575" s="933"/>
      <c r="G1575" s="933"/>
      <c r="H1575" s="933"/>
      <c r="I1575" s="933"/>
      <c r="J1575" s="933"/>
      <c r="K1575" s="933"/>
      <c r="L1575" s="934" t="s">
        <v>481</v>
      </c>
      <c r="M1575" s="934"/>
      <c r="N1575" s="934"/>
      <c r="O1575" s="934"/>
      <c r="P1575" s="934"/>
      <c r="Q1575" s="934"/>
      <c r="R1575" s="935"/>
      <c r="S1575" s="935"/>
      <c r="T1575" s="935"/>
      <c r="U1575" s="935"/>
      <c r="V1575" s="27"/>
    </row>
    <row r="1576" spans="1:32" s="20" customFormat="1" ht="18.75" customHeight="1">
      <c r="A1576" s="14"/>
      <c r="B1576" s="518"/>
      <c r="C1576" s="933" t="s">
        <v>484</v>
      </c>
      <c r="D1576" s="933"/>
      <c r="E1576" s="933"/>
      <c r="F1576" s="933"/>
      <c r="G1576" s="933"/>
      <c r="H1576" s="933"/>
      <c r="I1576" s="933"/>
      <c r="J1576" s="933"/>
      <c r="K1576" s="933"/>
      <c r="L1576" s="934" t="s">
        <v>481</v>
      </c>
      <c r="M1576" s="934"/>
      <c r="N1576" s="934"/>
      <c r="O1576" s="934"/>
      <c r="P1576" s="934"/>
      <c r="Q1576" s="934"/>
      <c r="R1576" s="935"/>
      <c r="S1576" s="935"/>
      <c r="T1576" s="935"/>
      <c r="U1576" s="935"/>
      <c r="V1576" s="27"/>
    </row>
    <row r="1577" spans="1:32" s="20" customFormat="1" ht="29.25" customHeight="1">
      <c r="A1577" s="14"/>
      <c r="B1577" s="518"/>
      <c r="C1577" s="933" t="s">
        <v>485</v>
      </c>
      <c r="D1577" s="933"/>
      <c r="E1577" s="933"/>
      <c r="F1577" s="933"/>
      <c r="G1577" s="933"/>
      <c r="H1577" s="933"/>
      <c r="I1577" s="933"/>
      <c r="J1577" s="933"/>
      <c r="K1577" s="933"/>
      <c r="L1577" s="933"/>
      <c r="M1577" s="933"/>
      <c r="N1577" s="933"/>
      <c r="O1577" s="933"/>
      <c r="P1577" s="933"/>
      <c r="Q1577" s="933"/>
      <c r="R1577" s="933"/>
      <c r="S1577" s="933"/>
      <c r="T1577" s="933"/>
      <c r="U1577" s="933"/>
      <c r="V1577" s="27"/>
    </row>
    <row r="1578" spans="1:32" s="20" customFormat="1" ht="55.5" customHeight="1">
      <c r="A1578" s="14"/>
      <c r="B1578" s="518"/>
      <c r="C1578" s="313" t="str">
        <f>"Saldo Aset Tak Berwujud Lainnya per "&amp;'[1]2.ISIAN DATA SKPD'!D8&amp;" dan "&amp;'[1]2.ISIAN DATA SKPD'!D12&amp;" adalah Rp. "&amp;FIXED(R1583)&amp;" dan Rp. "&amp;FIXED(B1583)&amp;" mengalami kenaikan/penurunan sebesar Rp. "&amp;FIXED(AC1583)&amp;" atau sebesar "&amp;FIXED(Y1583)&amp;"% dari tahun "&amp;'[1]2.ISIAN DATA SKPD'!D12&amp;"."</f>
        <v>Saldo Aset Tak Berwujud Lainnya per 31 Desember 2017 dan 2016 adalah Rp. 0.00 dan Rp. 0.00 mengalami kenaikan/penurunan sebesar Rp. 0.00 atau sebesar 0.00% dari tahun 2016.</v>
      </c>
      <c r="D1578" s="313"/>
      <c r="E1578" s="313"/>
      <c r="F1578" s="313"/>
      <c r="G1578" s="313"/>
      <c r="H1578" s="313"/>
      <c r="I1578" s="313"/>
      <c r="J1578" s="313"/>
      <c r="K1578" s="313"/>
      <c r="L1578" s="313"/>
      <c r="M1578" s="313"/>
      <c r="N1578" s="313"/>
      <c r="O1578" s="313"/>
      <c r="P1578" s="313"/>
      <c r="Q1578" s="313"/>
      <c r="R1578" s="313"/>
      <c r="S1578" s="313"/>
      <c r="T1578" s="313"/>
      <c r="U1578" s="313"/>
      <c r="V1578" s="27"/>
    </row>
    <row r="1579" spans="1:32" s="20" customFormat="1" ht="51.75" customHeight="1">
      <c r="A1579" s="14"/>
      <c r="B1579" s="518"/>
      <c r="C1579" s="313" t="str">
        <f>"Aset Tak Berwujud Lainnya pada "&amp;'[1]2.ISIAN DATA SKPD'!D2&amp;" berupa software yang digunakan untuk menunjang operasional kantor."</f>
        <v>Aset Tak Berwujud Lainnya pada Dinas Pekerjaan Umum dan Penataan Ruang berupa software yang digunakan untuk menunjang operasional kantor.</v>
      </c>
      <c r="D1579" s="313"/>
      <c r="E1579" s="313"/>
      <c r="F1579" s="313"/>
      <c r="G1579" s="313"/>
      <c r="H1579" s="313"/>
      <c r="I1579" s="313"/>
      <c r="J1579" s="313"/>
      <c r="K1579" s="313"/>
      <c r="L1579" s="313"/>
      <c r="M1579" s="313"/>
      <c r="N1579" s="313"/>
      <c r="O1579" s="313"/>
      <c r="P1579" s="313"/>
      <c r="Q1579" s="313"/>
      <c r="R1579" s="313"/>
      <c r="S1579" s="313"/>
      <c r="T1579" s="313"/>
      <c r="U1579" s="313"/>
      <c r="V1579" s="27"/>
    </row>
    <row r="1580" spans="1:32" s="20" customFormat="1" ht="42" customHeight="1">
      <c r="A1580" s="14"/>
      <c r="B1580" s="518"/>
      <c r="C1580" s="936" t="s">
        <v>486</v>
      </c>
      <c r="D1580" s="936"/>
      <c r="E1580" s="936"/>
      <c r="F1580" s="936"/>
      <c r="G1580" s="936"/>
      <c r="H1580" s="936"/>
      <c r="I1580" s="936"/>
      <c r="J1580" s="936"/>
      <c r="K1580" s="936"/>
      <c r="L1580" s="936"/>
      <c r="M1580" s="936"/>
      <c r="N1580" s="936"/>
      <c r="O1580" s="936"/>
      <c r="P1580" s="936"/>
      <c r="Q1580" s="936"/>
      <c r="R1580" s="936"/>
      <c r="S1580" s="936"/>
      <c r="T1580" s="936"/>
      <c r="U1580" s="936"/>
      <c r="V1580" s="27"/>
    </row>
    <row r="1581" spans="1:32" s="20" customFormat="1" ht="28.35" customHeight="1">
      <c r="A1581" s="726" t="s">
        <v>84</v>
      </c>
      <c r="B1581" s="727" t="s">
        <v>411</v>
      </c>
      <c r="C1581" s="728"/>
      <c r="D1581" s="728"/>
      <c r="E1581" s="729"/>
      <c r="F1581" s="730" t="s">
        <v>412</v>
      </c>
      <c r="G1581" s="730"/>
      <c r="H1581" s="730"/>
      <c r="I1581" s="730"/>
      <c r="J1581" s="730"/>
      <c r="K1581" s="730"/>
      <c r="L1581" s="730" t="s">
        <v>413</v>
      </c>
      <c r="M1581" s="730"/>
      <c r="N1581" s="730"/>
      <c r="O1581" s="730"/>
      <c r="P1581" s="730"/>
      <c r="Q1581" s="730"/>
      <c r="R1581" s="731" t="s">
        <v>414</v>
      </c>
      <c r="S1581" s="731"/>
      <c r="T1581" s="731"/>
      <c r="U1581" s="731"/>
      <c r="V1581" s="27"/>
    </row>
    <row r="1582" spans="1:32" s="20" customFormat="1" ht="28.35" customHeight="1">
      <c r="A1582" s="732"/>
      <c r="B1582" s="733">
        <f>B1570</f>
        <v>2017</v>
      </c>
      <c r="C1582" s="734"/>
      <c r="D1582" s="734"/>
      <c r="E1582" s="735"/>
      <c r="F1582" s="731" t="s">
        <v>415</v>
      </c>
      <c r="G1582" s="731"/>
      <c r="H1582" s="731"/>
      <c r="I1582" s="731" t="s">
        <v>416</v>
      </c>
      <c r="J1582" s="731"/>
      <c r="K1582" s="731"/>
      <c r="L1582" s="731" t="s">
        <v>415</v>
      </c>
      <c r="M1582" s="731"/>
      <c r="N1582" s="731"/>
      <c r="O1582" s="736" t="s">
        <v>416</v>
      </c>
      <c r="P1582" s="736"/>
      <c r="Q1582" s="736"/>
      <c r="R1582" s="733">
        <f>R1570</f>
        <v>2017</v>
      </c>
      <c r="S1582" s="734"/>
      <c r="T1582" s="734"/>
      <c r="U1582" s="735"/>
      <c r="V1582" s="804"/>
      <c r="W1582" s="805"/>
      <c r="X1582" s="805"/>
      <c r="Y1582" s="208" t="s">
        <v>417</v>
      </c>
      <c r="Z1582" s="805"/>
      <c r="AA1582" s="805"/>
      <c r="AB1582" s="805"/>
      <c r="AC1582" s="712" t="s">
        <v>404</v>
      </c>
      <c r="AD1582" s="713"/>
      <c r="AE1582" s="713"/>
      <c r="AF1582" s="806"/>
    </row>
    <row r="1583" spans="1:32" s="20" customFormat="1" ht="30" customHeight="1">
      <c r="A1583" s="771" t="s">
        <v>487</v>
      </c>
      <c r="B1583" s="757">
        <f>'[1]4.NERACA'!D153</f>
        <v>0</v>
      </c>
      <c r="C1583" s="758"/>
      <c r="D1583" s="758"/>
      <c r="E1583" s="759"/>
      <c r="F1583" s="931">
        <f>'[1]4.NERACA'!E153</f>
        <v>0</v>
      </c>
      <c r="G1583" s="931"/>
      <c r="H1583" s="931"/>
      <c r="I1583" s="931">
        <f>'[1]4.NERACA'!F153</f>
        <v>0</v>
      </c>
      <c r="J1583" s="931"/>
      <c r="K1583" s="931"/>
      <c r="L1583" s="931">
        <f>'[1]4.NERACA'!G153</f>
        <v>0</v>
      </c>
      <c r="M1583" s="931"/>
      <c r="N1583" s="931"/>
      <c r="O1583" s="931">
        <f>'[1]4.NERACA'!H153</f>
        <v>0</v>
      </c>
      <c r="P1583" s="931"/>
      <c r="Q1583" s="931"/>
      <c r="R1583" s="931">
        <f>B1583++F1583-I1583+L1583-O1583</f>
        <v>0</v>
      </c>
      <c r="S1583" s="931"/>
      <c r="T1583" s="931"/>
      <c r="U1583" s="931"/>
      <c r="V1583" s="808"/>
      <c r="W1583" s="805"/>
      <c r="X1583" s="805"/>
      <c r="Y1583" s="208">
        <v>0</v>
      </c>
      <c r="Z1583" s="805"/>
      <c r="AA1583" s="805"/>
      <c r="AB1583" s="805"/>
      <c r="AC1583" s="451">
        <f>R1583-B1583</f>
        <v>0</v>
      </c>
      <c r="AD1583" s="452"/>
      <c r="AE1583" s="452"/>
      <c r="AF1583" s="453"/>
    </row>
    <row r="1584" spans="1:32" s="20" customFormat="1" ht="21" customHeight="1">
      <c r="A1584" s="14"/>
      <c r="B1584" s="518"/>
      <c r="C1584" s="932" t="s">
        <v>418</v>
      </c>
      <c r="D1584" s="932"/>
      <c r="E1584" s="932"/>
      <c r="F1584" s="932"/>
      <c r="G1584" s="932"/>
      <c r="H1584" s="932"/>
      <c r="I1584" s="932"/>
      <c r="J1584" s="932"/>
      <c r="K1584" s="932"/>
      <c r="L1584" s="932"/>
      <c r="M1584" s="932"/>
      <c r="N1584" s="932"/>
      <c r="O1584" s="932"/>
      <c r="P1584" s="932"/>
      <c r="Q1584" s="932"/>
      <c r="R1584" s="932"/>
      <c r="S1584" s="932"/>
      <c r="T1584" s="932"/>
      <c r="U1584" s="932"/>
      <c r="V1584" s="27"/>
    </row>
    <row r="1585" spans="1:32" s="20" customFormat="1" ht="21" customHeight="1">
      <c r="A1585" s="14"/>
      <c r="B1585" s="442"/>
      <c r="C1585" s="428" t="s">
        <v>428</v>
      </c>
      <c r="D1585" s="428"/>
      <c r="E1585" s="428"/>
      <c r="F1585" s="428"/>
      <c r="G1585" s="428"/>
      <c r="H1585" s="428"/>
      <c r="I1585" s="428"/>
      <c r="J1585" s="428"/>
      <c r="K1585" s="428"/>
      <c r="L1585" s="428"/>
      <c r="M1585" s="428"/>
      <c r="N1585" s="428"/>
      <c r="O1585" s="428"/>
      <c r="P1585" s="428"/>
      <c r="Q1585" s="428"/>
      <c r="R1585" s="428"/>
      <c r="S1585" s="428"/>
      <c r="T1585" s="428"/>
      <c r="U1585" s="428"/>
      <c r="V1585" s="27"/>
    </row>
    <row r="1586" spans="1:32" s="20" customFormat="1" ht="15" customHeight="1">
      <c r="A1586" s="14"/>
      <c r="B1586" s="442"/>
      <c r="C1586" s="354" t="str">
        <f>"Mutasi Debet sebesar Rp. "&amp;FIXED(F1583+L1583)&amp;" "</f>
        <v xml:space="preserve">Mutasi Debet sebesar Rp. 0.00 </v>
      </c>
      <c r="D1586" s="354"/>
      <c r="E1586" s="354"/>
      <c r="F1586" s="354"/>
      <c r="G1586" s="354"/>
      <c r="H1586" s="354"/>
      <c r="I1586" s="354"/>
      <c r="J1586" s="354"/>
      <c r="K1586" s="354"/>
      <c r="L1586" s="354"/>
      <c r="M1586" s="354"/>
      <c r="N1586" s="354"/>
      <c r="O1586" s="354"/>
      <c r="P1586" s="354"/>
      <c r="Q1586" s="354"/>
      <c r="R1586" s="354"/>
      <c r="S1586" s="354"/>
      <c r="T1586" s="354"/>
      <c r="U1586" s="354"/>
      <c r="V1586" s="27"/>
    </row>
    <row r="1587" spans="1:32" s="20" customFormat="1" ht="21" customHeight="1">
      <c r="A1587" s="14"/>
      <c r="B1587" s="442"/>
      <c r="C1587" s="428" t="s">
        <v>430</v>
      </c>
      <c r="D1587" s="428"/>
      <c r="E1587" s="428"/>
      <c r="F1587" s="428"/>
      <c r="G1587" s="428"/>
      <c r="H1587" s="428"/>
      <c r="I1587" s="428"/>
      <c r="J1587" s="428"/>
      <c r="K1587" s="428"/>
      <c r="L1587" s="428"/>
      <c r="M1587" s="428"/>
      <c r="N1587" s="428"/>
      <c r="O1587" s="428"/>
      <c r="P1587" s="428"/>
      <c r="Q1587" s="428"/>
      <c r="R1587" s="428"/>
      <c r="S1587" s="428"/>
      <c r="T1587" s="428"/>
      <c r="U1587" s="428"/>
      <c r="V1587" s="27"/>
    </row>
    <row r="1588" spans="1:32" s="20" customFormat="1" ht="19.5" customHeight="1">
      <c r="A1588" s="14"/>
      <c r="B1588" s="784"/>
      <c r="C1588" s="354" t="str">
        <f>"Mutasi Kredit Rp. "&amp;FIXED(I1583+O1583)&amp;" "</f>
        <v xml:space="preserve">Mutasi Kredit Rp. 0.00 </v>
      </c>
      <c r="D1588" s="354"/>
      <c r="E1588" s="354"/>
      <c r="F1588" s="354"/>
      <c r="G1588" s="354"/>
      <c r="H1588" s="354"/>
      <c r="I1588" s="354"/>
      <c r="J1588" s="354"/>
      <c r="K1588" s="354"/>
      <c r="L1588" s="354"/>
      <c r="M1588" s="354"/>
      <c r="N1588" s="354"/>
      <c r="O1588" s="354"/>
      <c r="P1588" s="354"/>
      <c r="Q1588" s="354"/>
      <c r="R1588" s="354"/>
      <c r="S1588" s="354"/>
      <c r="T1588" s="354"/>
      <c r="U1588" s="354"/>
      <c r="V1588" s="27"/>
    </row>
    <row r="1589" spans="1:32" s="20" customFormat="1" ht="16.5" customHeight="1">
      <c r="A1589" s="14"/>
      <c r="B1589" s="784"/>
      <c r="C1589" s="129" t="s">
        <v>488</v>
      </c>
      <c r="D1589" s="129"/>
      <c r="E1589" s="129"/>
      <c r="F1589" s="129"/>
      <c r="G1589" s="129"/>
      <c r="H1589" s="129"/>
      <c r="I1589" s="129"/>
      <c r="J1589" s="129"/>
      <c r="K1589" s="129"/>
      <c r="L1589" s="129"/>
      <c r="M1589" s="129"/>
      <c r="N1589" s="129"/>
      <c r="O1589" s="129"/>
      <c r="P1589" s="129"/>
      <c r="Q1589" s="129"/>
      <c r="R1589" s="129"/>
      <c r="S1589" s="129"/>
      <c r="T1589" s="129"/>
      <c r="U1589" s="129"/>
      <c r="V1589" s="27"/>
    </row>
    <row r="1590" spans="1:32" s="20" customFormat="1" ht="8.25" customHeight="1">
      <c r="A1590" s="14"/>
      <c r="B1590" s="784"/>
      <c r="C1590" s="937"/>
      <c r="D1590" s="937"/>
      <c r="E1590" s="937"/>
      <c r="F1590" s="937"/>
      <c r="G1590" s="937"/>
      <c r="H1590" s="937"/>
      <c r="I1590" s="937"/>
      <c r="J1590" s="937"/>
      <c r="K1590" s="937"/>
      <c r="L1590" s="937"/>
      <c r="M1590" s="937"/>
      <c r="N1590" s="937"/>
      <c r="O1590" s="937"/>
      <c r="P1590" s="937"/>
      <c r="Q1590" s="937"/>
      <c r="R1590" s="937"/>
      <c r="S1590" s="937"/>
      <c r="T1590" s="937"/>
      <c r="U1590" s="937"/>
      <c r="V1590" s="27"/>
    </row>
    <row r="1591" spans="1:32" s="20" customFormat="1" ht="11.25" customHeight="1">
      <c r="A1591" s="14"/>
      <c r="B1591" s="784"/>
      <c r="C1591" s="937"/>
      <c r="D1591" s="937"/>
      <c r="E1591" s="937"/>
      <c r="F1591" s="937"/>
      <c r="G1591" s="937"/>
      <c r="H1591" s="937"/>
      <c r="I1591" s="937"/>
      <c r="J1591" s="937"/>
      <c r="K1591" s="937"/>
      <c r="L1591" s="937"/>
      <c r="M1591" s="937"/>
      <c r="N1591" s="937"/>
      <c r="O1591" s="937"/>
      <c r="P1591" s="937"/>
      <c r="Q1591" s="937"/>
      <c r="R1591" s="937"/>
      <c r="S1591" s="937"/>
      <c r="T1591" s="937"/>
      <c r="U1591" s="937"/>
      <c r="V1591" s="27"/>
    </row>
    <row r="1592" spans="1:32" s="20" customFormat="1" ht="6" customHeight="1">
      <c r="A1592" s="14"/>
      <c r="B1592" s="784"/>
      <c r="C1592" s="938"/>
      <c r="D1592" s="938"/>
      <c r="E1592" s="938"/>
      <c r="F1592" s="938"/>
      <c r="G1592" s="938"/>
      <c r="H1592" s="938"/>
      <c r="I1592" s="938"/>
      <c r="J1592" s="938"/>
      <c r="K1592" s="938"/>
      <c r="L1592" s="938"/>
      <c r="M1592" s="938"/>
      <c r="N1592" s="938"/>
      <c r="O1592" s="938"/>
      <c r="P1592" s="938"/>
      <c r="Q1592" s="938"/>
      <c r="R1592" s="938"/>
      <c r="S1592" s="938"/>
      <c r="T1592" s="938"/>
      <c r="U1592" s="938"/>
      <c r="V1592" s="27"/>
    </row>
    <row r="1593" spans="1:32" s="20" customFormat="1" ht="21" customHeight="1">
      <c r="A1593" s="14"/>
      <c r="B1593" s="784"/>
      <c r="C1593" s="707" t="s">
        <v>489</v>
      </c>
      <c r="D1593" s="707"/>
      <c r="E1593" s="707"/>
      <c r="F1593" s="707"/>
      <c r="G1593" s="707"/>
      <c r="H1593" s="707"/>
      <c r="I1593" s="707"/>
      <c r="J1593" s="707"/>
      <c r="K1593" s="707"/>
      <c r="L1593" s="707"/>
      <c r="M1593" s="707"/>
      <c r="N1593" s="707"/>
      <c r="O1593" s="707"/>
      <c r="P1593" s="707"/>
      <c r="Q1593" s="707"/>
      <c r="R1593" s="707"/>
      <c r="S1593" s="707"/>
      <c r="T1593" s="707"/>
      <c r="U1593" s="707"/>
      <c r="V1593" s="27"/>
    </row>
    <row r="1594" spans="1:32" s="20" customFormat="1" ht="58.5" customHeight="1">
      <c r="A1594" s="14"/>
      <c r="B1594" s="784"/>
      <c r="C1594" s="313" t="str">
        <f>"Saldo Akumulasi dan Amortisasi ATB per "&amp;'[1]2.ISIAN DATA SKPD'!D8&amp;" dan "&amp;'[1]2.ISIAN DATA SKPD'!D12&amp;" adalah Rp. "&amp;FIXED(R1598)&amp;" dan Rp. "&amp;FIXED(B1598)&amp;" mengalami kenaikan/penurunan sebesar Rp. "&amp;FIXED(AC1598)&amp;" atau sebesar "&amp;FIXED(Y1598)&amp;"% dari tahun "&amp;'[1]2.ISIAN DATA SKPD'!D12&amp;"."</f>
        <v>Saldo Akumulasi dan Amortisasi ATB per 31 Desember 2017 dan 2016 adalah Rp. 0.00 dan Rp. 0.00 mengalami kenaikan/penurunan sebesar Rp. 0.00 atau sebesar 0.00% dari tahun 2016.</v>
      </c>
      <c r="D1594" s="313"/>
      <c r="E1594" s="313"/>
      <c r="F1594" s="313"/>
      <c r="G1594" s="313"/>
      <c r="H1594" s="313"/>
      <c r="I1594" s="313"/>
      <c r="J1594" s="313"/>
      <c r="K1594" s="313"/>
      <c r="L1594" s="313"/>
      <c r="M1594" s="313"/>
      <c r="N1594" s="313"/>
      <c r="O1594" s="313"/>
      <c r="P1594" s="313"/>
      <c r="Q1594" s="313"/>
      <c r="R1594" s="313"/>
      <c r="S1594" s="313"/>
      <c r="T1594" s="313"/>
      <c r="U1594" s="313"/>
      <c r="V1594" s="27"/>
    </row>
    <row r="1595" spans="1:32" s="20" customFormat="1" ht="22.5" customHeight="1">
      <c r="A1595" s="14"/>
      <c r="B1595" s="784"/>
      <c r="C1595" s="938"/>
      <c r="D1595" s="938"/>
      <c r="E1595" s="938"/>
      <c r="F1595" s="938"/>
      <c r="G1595" s="938"/>
      <c r="H1595" s="938"/>
      <c r="I1595" s="938"/>
      <c r="J1595" s="938"/>
      <c r="K1595" s="938"/>
      <c r="L1595" s="938"/>
      <c r="M1595" s="938"/>
      <c r="N1595" s="938"/>
      <c r="O1595" s="938"/>
      <c r="P1595" s="938"/>
      <c r="Q1595" s="938"/>
      <c r="R1595" s="938"/>
      <c r="S1595" s="938"/>
      <c r="T1595" s="938"/>
      <c r="U1595" s="938"/>
      <c r="V1595" s="27"/>
    </row>
    <row r="1596" spans="1:32" s="20" customFormat="1" ht="21" customHeight="1">
      <c r="A1596" s="726" t="s">
        <v>84</v>
      </c>
      <c r="B1596" s="727" t="s">
        <v>411</v>
      </c>
      <c r="C1596" s="728"/>
      <c r="D1596" s="728"/>
      <c r="E1596" s="729"/>
      <c r="F1596" s="730" t="s">
        <v>412</v>
      </c>
      <c r="G1596" s="730"/>
      <c r="H1596" s="730"/>
      <c r="I1596" s="730"/>
      <c r="J1596" s="730"/>
      <c r="K1596" s="730"/>
      <c r="L1596" s="730" t="s">
        <v>413</v>
      </c>
      <c r="M1596" s="730"/>
      <c r="N1596" s="730"/>
      <c r="O1596" s="730"/>
      <c r="P1596" s="730"/>
      <c r="Q1596" s="730"/>
      <c r="R1596" s="731" t="s">
        <v>414</v>
      </c>
      <c r="S1596" s="731"/>
      <c r="T1596" s="731"/>
      <c r="U1596" s="731"/>
      <c r="V1596" s="27"/>
    </row>
    <row r="1597" spans="1:32" s="20" customFormat="1" ht="18" customHeight="1">
      <c r="A1597" s="732"/>
      <c r="B1597" s="733">
        <f>B1582</f>
        <v>2017</v>
      </c>
      <c r="C1597" s="734"/>
      <c r="D1597" s="734"/>
      <c r="E1597" s="735"/>
      <c r="F1597" s="731" t="s">
        <v>415</v>
      </c>
      <c r="G1597" s="731"/>
      <c r="H1597" s="731"/>
      <c r="I1597" s="731" t="s">
        <v>416</v>
      </c>
      <c r="J1597" s="731"/>
      <c r="K1597" s="731"/>
      <c r="L1597" s="731" t="s">
        <v>415</v>
      </c>
      <c r="M1597" s="731"/>
      <c r="N1597" s="731"/>
      <c r="O1597" s="736" t="s">
        <v>416</v>
      </c>
      <c r="P1597" s="736"/>
      <c r="Q1597" s="736"/>
      <c r="R1597" s="733">
        <f>R1582</f>
        <v>2017</v>
      </c>
      <c r="S1597" s="734"/>
      <c r="T1597" s="734"/>
      <c r="U1597" s="735"/>
      <c r="V1597" s="804"/>
      <c r="W1597" s="805"/>
      <c r="X1597" s="805"/>
      <c r="Y1597" s="208" t="s">
        <v>417</v>
      </c>
      <c r="Z1597" s="805"/>
      <c r="AA1597" s="805"/>
      <c r="AB1597" s="805"/>
      <c r="AC1597" s="712" t="s">
        <v>404</v>
      </c>
      <c r="AD1597" s="713"/>
      <c r="AE1597" s="713"/>
      <c r="AF1597" s="806"/>
    </row>
    <row r="1598" spans="1:32" s="20" customFormat="1" ht="39" customHeight="1">
      <c r="A1598" s="771" t="s">
        <v>490</v>
      </c>
      <c r="B1598" s="757">
        <f>'[1]4.NERACA'!D154</f>
        <v>0</v>
      </c>
      <c r="C1598" s="758"/>
      <c r="D1598" s="758"/>
      <c r="E1598" s="759"/>
      <c r="F1598" s="931">
        <f>'[1]4.NERACA'!E154</f>
        <v>0</v>
      </c>
      <c r="G1598" s="931"/>
      <c r="H1598" s="931"/>
      <c r="I1598" s="931">
        <f>'[1]4.NERACA'!F154</f>
        <v>0</v>
      </c>
      <c r="J1598" s="931"/>
      <c r="K1598" s="931"/>
      <c r="L1598" s="931">
        <f>'[1]4.NERACA'!G154</f>
        <v>0</v>
      </c>
      <c r="M1598" s="931"/>
      <c r="N1598" s="931"/>
      <c r="O1598" s="931">
        <f>'[1]4.NERACA'!H154</f>
        <v>0</v>
      </c>
      <c r="P1598" s="931"/>
      <c r="Q1598" s="931"/>
      <c r="R1598" s="931">
        <f>B1598++F1598-I1598+L1598-O1598</f>
        <v>0</v>
      </c>
      <c r="S1598" s="931"/>
      <c r="T1598" s="931"/>
      <c r="U1598" s="931"/>
      <c r="V1598" s="808"/>
      <c r="W1598" s="805"/>
      <c r="X1598" s="805"/>
      <c r="Y1598" s="208">
        <v>0</v>
      </c>
      <c r="Z1598" s="805"/>
      <c r="AA1598" s="805"/>
      <c r="AB1598" s="805"/>
      <c r="AC1598" s="451">
        <f>R1598-B1598</f>
        <v>0</v>
      </c>
      <c r="AD1598" s="452"/>
      <c r="AE1598" s="452"/>
      <c r="AF1598" s="453"/>
    </row>
    <row r="1599" spans="1:32" s="20" customFormat="1" ht="24" customHeight="1">
      <c r="A1599" s="14"/>
      <c r="B1599" s="784"/>
      <c r="C1599" s="932" t="s">
        <v>418</v>
      </c>
      <c r="D1599" s="932"/>
      <c r="E1599" s="932"/>
      <c r="F1599" s="932"/>
      <c r="G1599" s="932"/>
      <c r="H1599" s="932"/>
      <c r="I1599" s="932"/>
      <c r="J1599" s="932"/>
      <c r="K1599" s="932"/>
      <c r="L1599" s="932"/>
      <c r="M1599" s="932"/>
      <c r="N1599" s="932"/>
      <c r="O1599" s="932"/>
      <c r="P1599" s="932"/>
      <c r="Q1599" s="932"/>
      <c r="R1599" s="932"/>
      <c r="S1599" s="932"/>
      <c r="T1599" s="932"/>
      <c r="U1599" s="932"/>
      <c r="V1599" s="27"/>
    </row>
    <row r="1600" spans="1:32" s="20" customFormat="1" ht="18.75" customHeight="1">
      <c r="A1600" s="14"/>
      <c r="B1600" s="784"/>
      <c r="C1600" s="428" t="s">
        <v>491</v>
      </c>
      <c r="D1600" s="428"/>
      <c r="E1600" s="428"/>
      <c r="F1600" s="428"/>
      <c r="G1600" s="428"/>
      <c r="H1600" s="428"/>
      <c r="I1600" s="428"/>
      <c r="J1600" s="428"/>
      <c r="K1600" s="428"/>
      <c r="L1600" s="428"/>
      <c r="M1600" s="428"/>
      <c r="N1600" s="428"/>
      <c r="O1600" s="428"/>
      <c r="P1600" s="428"/>
      <c r="Q1600" s="428"/>
      <c r="R1600" s="428"/>
      <c r="S1600" s="428"/>
      <c r="T1600" s="428"/>
      <c r="U1600" s="428"/>
      <c r="V1600" s="27"/>
    </row>
    <row r="1601" spans="1:22" s="20" customFormat="1" ht="20.25" customHeight="1">
      <c r="A1601" s="14"/>
      <c r="B1601" s="784"/>
      <c r="C1601" s="354" t="str">
        <f>"Mutasi Debet sebesar Rp. "&amp;FIXED(F1598+L1598)&amp;" ."</f>
        <v>Mutasi Debet sebesar Rp. 0.00 .</v>
      </c>
      <c r="D1601" s="354"/>
      <c r="E1601" s="354"/>
      <c r="F1601" s="354"/>
      <c r="G1601" s="354"/>
      <c r="H1601" s="354"/>
      <c r="I1601" s="354"/>
      <c r="J1601" s="354"/>
      <c r="K1601" s="354"/>
      <c r="L1601" s="354"/>
      <c r="M1601" s="354"/>
      <c r="N1601" s="354"/>
      <c r="O1601" s="354"/>
      <c r="P1601" s="354"/>
      <c r="Q1601" s="354"/>
      <c r="R1601" s="354"/>
      <c r="S1601" s="354"/>
      <c r="T1601" s="354"/>
      <c r="U1601" s="354"/>
      <c r="V1601" s="27"/>
    </row>
    <row r="1602" spans="1:22" s="20" customFormat="1" ht="18.75" customHeight="1">
      <c r="A1602" s="14"/>
      <c r="B1602" s="784"/>
      <c r="C1602" s="428" t="s">
        <v>492</v>
      </c>
      <c r="D1602" s="428"/>
      <c r="E1602" s="428"/>
      <c r="F1602" s="428"/>
      <c r="G1602" s="428"/>
      <c r="H1602" s="428"/>
      <c r="I1602" s="428"/>
      <c r="J1602" s="428"/>
      <c r="K1602" s="428"/>
      <c r="L1602" s="428"/>
      <c r="M1602" s="428"/>
      <c r="N1602" s="428"/>
      <c r="O1602" s="428"/>
      <c r="P1602" s="428"/>
      <c r="Q1602" s="428"/>
      <c r="R1602" s="428"/>
      <c r="S1602" s="428"/>
      <c r="T1602" s="428"/>
      <c r="U1602" s="428"/>
      <c r="V1602" s="27"/>
    </row>
    <row r="1603" spans="1:22" s="20" customFormat="1" ht="18.75" customHeight="1">
      <c r="A1603" s="14"/>
      <c r="B1603" s="784"/>
      <c r="C1603" s="354" t="str">
        <f>"Mutasi Kredit Rp. "&amp;FIXED(I1598+O1598)&amp;" "</f>
        <v xml:space="preserve">Mutasi Kredit Rp. 0.00 </v>
      </c>
      <c r="D1603" s="354"/>
      <c r="E1603" s="354"/>
      <c r="F1603" s="354"/>
      <c r="G1603" s="354"/>
      <c r="H1603" s="354"/>
      <c r="I1603" s="354"/>
      <c r="J1603" s="354"/>
      <c r="K1603" s="354"/>
      <c r="L1603" s="354"/>
      <c r="M1603" s="354"/>
      <c r="N1603" s="354"/>
      <c r="O1603" s="354"/>
      <c r="P1603" s="354"/>
      <c r="Q1603" s="354"/>
      <c r="R1603" s="354"/>
      <c r="S1603" s="354"/>
      <c r="T1603" s="354"/>
      <c r="U1603" s="354"/>
      <c r="V1603" s="27"/>
    </row>
    <row r="1604" spans="1:22" s="20" customFormat="1" ht="38.25" customHeight="1">
      <c r="A1604" s="14"/>
      <c r="B1604" s="939" t="str">
        <f>"Berikut rincian Saldo Aset Tak Berwujud per "&amp;'[1]2.ISIAN DATA SKPD'!D8&amp;"  beserta akumulasi dan amortisasi :"</f>
        <v>Berikut rincian Saldo Aset Tak Berwujud per 31 Desember 2017  beserta akumulasi dan amortisasi :</v>
      </c>
      <c r="C1604" s="939"/>
      <c r="D1604" s="939"/>
      <c r="E1604" s="939"/>
      <c r="F1604" s="939"/>
      <c r="G1604" s="939"/>
      <c r="H1604" s="939"/>
      <c r="I1604" s="939"/>
      <c r="J1604" s="939"/>
      <c r="K1604" s="939"/>
      <c r="L1604" s="939"/>
      <c r="M1604" s="939"/>
      <c r="N1604" s="939"/>
      <c r="O1604" s="939"/>
      <c r="P1604" s="939"/>
      <c r="Q1604" s="939"/>
      <c r="R1604" s="939"/>
      <c r="S1604" s="939"/>
      <c r="T1604" s="939"/>
      <c r="U1604" s="939"/>
      <c r="V1604" s="27"/>
    </row>
    <row r="1605" spans="1:22" s="20" customFormat="1" ht="18.75" customHeight="1">
      <c r="A1605" s="14"/>
      <c r="B1605" s="657" t="s">
        <v>84</v>
      </c>
      <c r="C1605" s="658"/>
      <c r="D1605" s="658"/>
      <c r="E1605" s="658"/>
      <c r="F1605" s="658"/>
      <c r="G1605" s="658"/>
      <c r="H1605" s="658"/>
      <c r="I1605" s="658"/>
      <c r="J1605" s="658"/>
      <c r="K1605" s="658"/>
      <c r="L1605" s="658"/>
      <c r="M1605" s="659"/>
      <c r="N1605" s="657" t="s">
        <v>424</v>
      </c>
      <c r="O1605" s="658"/>
      <c r="P1605" s="658"/>
      <c r="Q1605" s="658"/>
      <c r="R1605" s="658"/>
      <c r="S1605" s="658"/>
      <c r="T1605" s="658"/>
      <c r="U1605" s="659"/>
      <c r="V1605" s="27"/>
    </row>
    <row r="1606" spans="1:22" s="20" customFormat="1" ht="18.75" customHeight="1">
      <c r="A1606" s="14"/>
      <c r="B1606" s="294" t="str">
        <f>'[1]4.NERACA'!C150</f>
        <v>Goodwill</v>
      </c>
      <c r="C1606" s="295"/>
      <c r="D1606" s="295"/>
      <c r="E1606" s="295"/>
      <c r="F1606" s="295"/>
      <c r="G1606" s="295"/>
      <c r="H1606" s="295"/>
      <c r="I1606" s="295"/>
      <c r="J1606" s="295"/>
      <c r="K1606" s="295"/>
      <c r="L1606" s="295"/>
      <c r="M1606" s="296"/>
      <c r="N1606" s="940">
        <f>'[1]4.NERACA'!I150</f>
        <v>0</v>
      </c>
      <c r="O1606" s="941"/>
      <c r="P1606" s="941"/>
      <c r="Q1606" s="941"/>
      <c r="R1606" s="941"/>
      <c r="S1606" s="941"/>
      <c r="T1606" s="941"/>
      <c r="U1606" s="942"/>
      <c r="V1606" s="27"/>
    </row>
    <row r="1607" spans="1:22" s="20" customFormat="1" ht="19.5" customHeight="1">
      <c r="A1607" s="14"/>
      <c r="B1607" s="294" t="str">
        <f>'[1]4.NERACA'!C151</f>
        <v>Lisensi dan frenchise</v>
      </c>
      <c r="C1607" s="295"/>
      <c r="D1607" s="295"/>
      <c r="E1607" s="295"/>
      <c r="F1607" s="295"/>
      <c r="G1607" s="295"/>
      <c r="H1607" s="295"/>
      <c r="I1607" s="295"/>
      <c r="J1607" s="295"/>
      <c r="K1607" s="295"/>
      <c r="L1607" s="295"/>
      <c r="M1607" s="296"/>
      <c r="N1607" s="940">
        <f>'[1]4.NERACA'!I151</f>
        <v>0</v>
      </c>
      <c r="O1607" s="941"/>
      <c r="P1607" s="941"/>
      <c r="Q1607" s="941"/>
      <c r="R1607" s="941"/>
      <c r="S1607" s="941"/>
      <c r="T1607" s="941"/>
      <c r="U1607" s="942"/>
      <c r="V1607" s="27"/>
    </row>
    <row r="1608" spans="1:22" s="20" customFormat="1" ht="22.5" customHeight="1">
      <c r="A1608" s="14"/>
      <c r="B1608" s="294" t="str">
        <f>'[1]4.NERACA'!C152</f>
        <v>Hak Cipta</v>
      </c>
      <c r="C1608" s="295"/>
      <c r="D1608" s="295"/>
      <c r="E1608" s="295"/>
      <c r="F1608" s="295"/>
      <c r="G1608" s="295"/>
      <c r="H1608" s="295"/>
      <c r="I1608" s="295"/>
      <c r="J1608" s="295"/>
      <c r="K1608" s="295"/>
      <c r="L1608" s="295"/>
      <c r="M1608" s="296"/>
      <c r="N1608" s="940">
        <f>'[1]4.NERACA'!I152</f>
        <v>0</v>
      </c>
      <c r="O1608" s="941"/>
      <c r="P1608" s="941"/>
      <c r="Q1608" s="941"/>
      <c r="R1608" s="941"/>
      <c r="S1608" s="941"/>
      <c r="T1608" s="941"/>
      <c r="U1608" s="942"/>
      <c r="V1608" s="27"/>
    </row>
    <row r="1609" spans="1:22" s="20" customFormat="1" ht="15.75" customHeight="1">
      <c r="A1609" s="14"/>
      <c r="B1609" s="294" t="str">
        <f>'[1]4.NERACA'!C153</f>
        <v>Paten</v>
      </c>
      <c r="C1609" s="295"/>
      <c r="D1609" s="295"/>
      <c r="E1609" s="295"/>
      <c r="F1609" s="295"/>
      <c r="G1609" s="295"/>
      <c r="H1609" s="295"/>
      <c r="I1609" s="295"/>
      <c r="J1609" s="295"/>
      <c r="K1609" s="295"/>
      <c r="L1609" s="295"/>
      <c r="M1609" s="296"/>
      <c r="N1609" s="940">
        <f>'[1]4.NERACA'!I153</f>
        <v>0</v>
      </c>
      <c r="O1609" s="941"/>
      <c r="P1609" s="941"/>
      <c r="Q1609" s="941"/>
      <c r="R1609" s="941"/>
      <c r="S1609" s="941"/>
      <c r="T1609" s="941"/>
      <c r="U1609" s="942"/>
      <c r="V1609" s="27"/>
    </row>
    <row r="1610" spans="1:22" s="20" customFormat="1" ht="15.75" customHeight="1">
      <c r="A1610" s="14"/>
      <c r="B1610" s="294" t="str">
        <f>'[1]4.NERACA'!C154</f>
        <v>Aset Tidak Berwujud Lainnya</v>
      </c>
      <c r="C1610" s="295"/>
      <c r="D1610" s="295"/>
      <c r="E1610" s="295"/>
      <c r="F1610" s="295"/>
      <c r="G1610" s="295"/>
      <c r="H1610" s="295"/>
      <c r="I1610" s="295"/>
      <c r="J1610" s="295"/>
      <c r="K1610" s="295"/>
      <c r="L1610" s="295"/>
      <c r="M1610" s="296"/>
      <c r="N1610" s="940">
        <f>'[1]4.NERACA'!I154</f>
        <v>0</v>
      </c>
      <c r="O1610" s="941"/>
      <c r="P1610" s="941"/>
      <c r="Q1610" s="941"/>
      <c r="R1610" s="941"/>
      <c r="S1610" s="941"/>
      <c r="T1610" s="941"/>
      <c r="U1610" s="942"/>
      <c r="V1610" s="27"/>
    </row>
    <row r="1611" spans="1:22" s="20" customFormat="1" ht="16.5" customHeight="1">
      <c r="A1611" s="14"/>
      <c r="B1611" s="294" t="str">
        <f>'[1]4.NERACA'!C155</f>
        <v>Akumulasi Amortisasi Aset Tidak Berwujud</v>
      </c>
      <c r="C1611" s="295"/>
      <c r="D1611" s="295"/>
      <c r="E1611" s="295"/>
      <c r="F1611" s="295"/>
      <c r="G1611" s="295"/>
      <c r="H1611" s="295"/>
      <c r="I1611" s="295"/>
      <c r="J1611" s="295"/>
      <c r="K1611" s="295"/>
      <c r="L1611" s="295"/>
      <c r="M1611" s="296"/>
      <c r="N1611" s="940">
        <f>'[1]4.NERACA'!I155</f>
        <v>0</v>
      </c>
      <c r="O1611" s="941"/>
      <c r="P1611" s="941"/>
      <c r="Q1611" s="941"/>
      <c r="R1611" s="941"/>
      <c r="S1611" s="941"/>
      <c r="T1611" s="941"/>
      <c r="U1611" s="942"/>
      <c r="V1611" s="27"/>
    </row>
    <row r="1612" spans="1:22" s="20" customFormat="1" ht="16.5" customHeight="1">
      <c r="A1612" s="14"/>
      <c r="B1612" s="657" t="s">
        <v>143</v>
      </c>
      <c r="C1612" s="658"/>
      <c r="D1612" s="658"/>
      <c r="E1612" s="658"/>
      <c r="F1612" s="658"/>
      <c r="G1612" s="658"/>
      <c r="H1612" s="658"/>
      <c r="I1612" s="658"/>
      <c r="J1612" s="658"/>
      <c r="K1612" s="658"/>
      <c r="L1612" s="658"/>
      <c r="M1612" s="659"/>
      <c r="N1612" s="940">
        <f>SUM(N1606:U1611)</f>
        <v>0</v>
      </c>
      <c r="O1612" s="941"/>
      <c r="P1612" s="941"/>
      <c r="Q1612" s="941"/>
      <c r="R1612" s="941"/>
      <c r="S1612" s="941"/>
      <c r="T1612" s="941"/>
      <c r="U1612" s="942"/>
      <c r="V1612" s="27"/>
    </row>
    <row r="1613" spans="1:22" s="20" customFormat="1" ht="16.5" customHeight="1">
      <c r="A1613" s="14"/>
      <c r="B1613" s="126"/>
      <c r="C1613" s="938"/>
      <c r="D1613" s="938"/>
      <c r="E1613" s="938"/>
      <c r="F1613" s="938"/>
      <c r="G1613" s="938"/>
      <c r="H1613" s="938"/>
      <c r="I1613" s="938"/>
      <c r="J1613" s="938"/>
      <c r="K1613" s="938"/>
      <c r="L1613" s="938"/>
      <c r="M1613" s="938"/>
      <c r="N1613" s="938"/>
      <c r="O1613" s="938"/>
      <c r="P1613" s="938"/>
      <c r="Q1613" s="938"/>
      <c r="R1613" s="938"/>
      <c r="S1613" s="938"/>
      <c r="T1613" s="938"/>
      <c r="U1613" s="938"/>
      <c r="V1613" s="27"/>
    </row>
    <row r="1614" spans="1:22" s="20" customFormat="1" ht="20.25" customHeight="1">
      <c r="A1614" s="14"/>
      <c r="B1614" s="725" t="s">
        <v>493</v>
      </c>
      <c r="C1614" s="725"/>
      <c r="D1614" s="725"/>
      <c r="E1614" s="725"/>
      <c r="F1614" s="725"/>
      <c r="G1614" s="725"/>
      <c r="H1614" s="725"/>
      <c r="I1614" s="725"/>
      <c r="J1614" s="725"/>
      <c r="K1614" s="725"/>
      <c r="L1614" s="725"/>
      <c r="M1614" s="725"/>
      <c r="N1614" s="725"/>
      <c r="O1614" s="725"/>
      <c r="P1614" s="725"/>
      <c r="Q1614" s="725"/>
      <c r="R1614" s="725"/>
      <c r="S1614" s="725"/>
      <c r="T1614" s="725"/>
      <c r="U1614" s="725"/>
      <c r="V1614" s="27"/>
    </row>
    <row r="1615" spans="1:22" s="20" customFormat="1" ht="68.25" customHeight="1">
      <c r="A1615" s="14"/>
      <c r="B1615" s="309" t="str">
        <f>"Saldo Aset Lain-lain per "&amp;'[1]2.ISIAN DATA SKPD'!D8&amp;" dan "&amp;'[1]2.ISIAN DATA SKPD'!D12&amp;" adalah Rp. "&amp;FIXED(R1620)&amp;" dan Rp. "&amp;FIXED(B1620)&amp;" mengalami penurunan sebesar Rp. "&amp;FIXED(AC1620)&amp;" atau sebesar "&amp;FIXED(Y1620)&amp;"% dari tahun "&amp;'[1]2.ISIAN DATA SKPD'!D12&amp;"."</f>
        <v>Saldo Aset Lain-lain per 31 Desember 2017 dan 2016 adalah Rp. 22,062,918,528.00 dan Rp. 83,612,607,295.00 mengalami penurunan sebesar Rp. -61,549,688,767.00 atau sebesar 26.39% dari tahun 2016.</v>
      </c>
      <c r="C1615" s="309"/>
      <c r="D1615" s="309"/>
      <c r="E1615" s="309"/>
      <c r="F1615" s="309"/>
      <c r="G1615" s="309"/>
      <c r="H1615" s="309"/>
      <c r="I1615" s="309"/>
      <c r="J1615" s="309"/>
      <c r="K1615" s="309"/>
      <c r="L1615" s="309"/>
      <c r="M1615" s="309"/>
      <c r="N1615" s="309"/>
      <c r="O1615" s="309"/>
      <c r="P1615" s="309"/>
      <c r="Q1615" s="309"/>
      <c r="R1615" s="309"/>
      <c r="S1615" s="309"/>
      <c r="T1615" s="309"/>
      <c r="U1615" s="309"/>
      <c r="V1615" s="27"/>
    </row>
    <row r="1616" spans="1:22" s="20" customFormat="1" ht="48.75" customHeight="1">
      <c r="A1616" s="14"/>
      <c r="B1616" s="309" t="s">
        <v>494</v>
      </c>
      <c r="C1616" s="309"/>
      <c r="D1616" s="309"/>
      <c r="E1616" s="309"/>
      <c r="F1616" s="309"/>
      <c r="G1616" s="309"/>
      <c r="H1616" s="309"/>
      <c r="I1616" s="309"/>
      <c r="J1616" s="309"/>
      <c r="K1616" s="309"/>
      <c r="L1616" s="309"/>
      <c r="M1616" s="309"/>
      <c r="N1616" s="309"/>
      <c r="O1616" s="309"/>
      <c r="P1616" s="309"/>
      <c r="Q1616" s="309"/>
      <c r="R1616" s="309"/>
      <c r="S1616" s="309"/>
      <c r="T1616" s="309"/>
      <c r="U1616" s="309"/>
      <c r="V1616" s="27"/>
    </row>
    <row r="1617" spans="1:32" s="20" customFormat="1" ht="16.5" customHeight="1">
      <c r="A1617" s="14"/>
      <c r="B1617" s="164"/>
      <c r="C1617" s="164"/>
      <c r="D1617" s="164"/>
      <c r="E1617" s="164"/>
      <c r="F1617" s="164"/>
      <c r="G1617" s="164"/>
      <c r="H1617" s="164"/>
      <c r="I1617" s="164"/>
      <c r="J1617" s="164"/>
      <c r="K1617" s="164"/>
      <c r="L1617" s="164"/>
      <c r="M1617" s="164"/>
      <c r="N1617" s="164"/>
      <c r="O1617" s="164"/>
      <c r="P1617" s="164"/>
      <c r="Q1617" s="164"/>
      <c r="R1617" s="164"/>
      <c r="S1617" s="164"/>
      <c r="T1617" s="46"/>
      <c r="U1617" s="46"/>
      <c r="V1617" s="27"/>
    </row>
    <row r="1618" spans="1:32" s="20" customFormat="1" ht="28.35" customHeight="1">
      <c r="A1618" s="726" t="s">
        <v>84</v>
      </c>
      <c r="B1618" s="727" t="s">
        <v>411</v>
      </c>
      <c r="C1618" s="728"/>
      <c r="D1618" s="728"/>
      <c r="E1618" s="729"/>
      <c r="F1618" s="730" t="s">
        <v>412</v>
      </c>
      <c r="G1618" s="730"/>
      <c r="H1618" s="730"/>
      <c r="I1618" s="730"/>
      <c r="J1618" s="730"/>
      <c r="K1618" s="730"/>
      <c r="L1618" s="730" t="s">
        <v>413</v>
      </c>
      <c r="M1618" s="730"/>
      <c r="N1618" s="730"/>
      <c r="O1618" s="730"/>
      <c r="P1618" s="730"/>
      <c r="Q1618" s="730"/>
      <c r="R1618" s="731" t="s">
        <v>414</v>
      </c>
      <c r="S1618" s="731"/>
      <c r="T1618" s="731"/>
      <c r="U1618" s="731"/>
      <c r="V1618" s="27"/>
    </row>
    <row r="1619" spans="1:32" s="20" customFormat="1" ht="28.35" customHeight="1">
      <c r="A1619" s="732"/>
      <c r="B1619" s="733">
        <f>B1373</f>
        <v>2017</v>
      </c>
      <c r="C1619" s="734"/>
      <c r="D1619" s="734"/>
      <c r="E1619" s="735"/>
      <c r="F1619" s="731" t="s">
        <v>415</v>
      </c>
      <c r="G1619" s="731"/>
      <c r="H1619" s="731"/>
      <c r="I1619" s="731" t="s">
        <v>416</v>
      </c>
      <c r="J1619" s="731"/>
      <c r="K1619" s="731"/>
      <c r="L1619" s="731" t="s">
        <v>415</v>
      </c>
      <c r="M1619" s="731"/>
      <c r="N1619" s="731"/>
      <c r="O1619" s="736" t="s">
        <v>416</v>
      </c>
      <c r="P1619" s="736"/>
      <c r="Q1619" s="736"/>
      <c r="R1619" s="733">
        <f>R1373</f>
        <v>2017</v>
      </c>
      <c r="S1619" s="734"/>
      <c r="T1619" s="734"/>
      <c r="U1619" s="735"/>
      <c r="V1619" s="804"/>
      <c r="W1619" s="805"/>
      <c r="X1619" s="805"/>
      <c r="Y1619" s="208" t="s">
        <v>417</v>
      </c>
      <c r="Z1619" s="805"/>
      <c r="AA1619" s="805"/>
      <c r="AB1619" s="805"/>
      <c r="AC1619" s="712" t="s">
        <v>404</v>
      </c>
      <c r="AD1619" s="713"/>
      <c r="AE1619" s="713"/>
      <c r="AF1619" s="806"/>
    </row>
    <row r="1620" spans="1:32" s="20" customFormat="1" ht="28.35" customHeight="1">
      <c r="A1620" s="771" t="s">
        <v>495</v>
      </c>
      <c r="B1620" s="886">
        <f>'[1]4.NERACA'!D157</f>
        <v>83612607295</v>
      </c>
      <c r="C1620" s="887"/>
      <c r="D1620" s="887"/>
      <c r="E1620" s="888"/>
      <c r="F1620" s="943">
        <f>'[1]4.NERACA'!E157</f>
        <v>0</v>
      </c>
      <c r="G1620" s="943"/>
      <c r="H1620" s="943"/>
      <c r="I1620" s="943">
        <f>'[1]4.NERACA'!F157</f>
        <v>47268380814</v>
      </c>
      <c r="J1620" s="943"/>
      <c r="K1620" s="943"/>
      <c r="L1620" s="943">
        <f>'[1]4.NERACA'!G157</f>
        <v>0</v>
      </c>
      <c r="M1620" s="943"/>
      <c r="N1620" s="943"/>
      <c r="O1620" s="943">
        <f>'[1]4.NERACA'!H157</f>
        <v>14281307953</v>
      </c>
      <c r="P1620" s="943"/>
      <c r="Q1620" s="943"/>
      <c r="R1620" s="943">
        <f>B1620++F1620-I1620+L1620-O1620</f>
        <v>22062918528</v>
      </c>
      <c r="S1620" s="943"/>
      <c r="T1620" s="943"/>
      <c r="U1620" s="943"/>
      <c r="V1620" s="808"/>
      <c r="W1620" s="805"/>
      <c r="X1620" s="805"/>
      <c r="Y1620" s="208">
        <f>R1620/B1620*100</f>
        <v>26.387071569432273</v>
      </c>
      <c r="Z1620" s="805"/>
      <c r="AA1620" s="805"/>
      <c r="AB1620" s="805"/>
      <c r="AC1620" s="340">
        <f>R1620-B1620</f>
        <v>-61549688767</v>
      </c>
      <c r="AD1620" s="341"/>
      <c r="AE1620" s="341"/>
      <c r="AF1620" s="342"/>
    </row>
    <row r="1621" spans="1:32" s="20" customFormat="1" ht="24" customHeight="1">
      <c r="A1621" s="14"/>
      <c r="B1621" s="944"/>
      <c r="C1621" s="944"/>
      <c r="D1621" s="944"/>
      <c r="E1621" s="944"/>
      <c r="F1621" s="944"/>
      <c r="G1621" s="944"/>
      <c r="H1621" s="944"/>
      <c r="I1621" s="944"/>
      <c r="J1621" s="944"/>
      <c r="K1621" s="944"/>
      <c r="L1621" s="944"/>
      <c r="M1621" s="944"/>
      <c r="N1621" s="945"/>
      <c r="O1621" s="945"/>
      <c r="P1621" s="945"/>
      <c r="Q1621" s="945"/>
      <c r="R1621" s="945"/>
      <c r="S1621" s="945"/>
      <c r="T1621" s="945"/>
      <c r="U1621" s="945"/>
      <c r="V1621" s="27"/>
    </row>
    <row r="1622" spans="1:32" s="20" customFormat="1" ht="35.25" customHeight="1">
      <c r="A1622" s="25"/>
      <c r="B1622" s="309" t="s">
        <v>496</v>
      </c>
      <c r="C1622" s="309"/>
      <c r="D1622" s="309"/>
      <c r="E1622" s="309"/>
      <c r="F1622" s="309"/>
      <c r="G1622" s="309"/>
      <c r="H1622" s="309"/>
      <c r="I1622" s="309"/>
      <c r="J1622" s="309"/>
      <c r="K1622" s="309"/>
      <c r="L1622" s="309"/>
      <c r="M1622" s="309"/>
      <c r="N1622" s="309"/>
      <c r="O1622" s="309"/>
      <c r="P1622" s="309"/>
      <c r="Q1622" s="309"/>
      <c r="R1622" s="309"/>
      <c r="S1622" s="309"/>
      <c r="T1622" s="309"/>
      <c r="U1622" s="309"/>
      <c r="V1622" s="946"/>
      <c r="W1622" s="947"/>
      <c r="X1622" s="947"/>
      <c r="Y1622" s="947"/>
      <c r="Z1622" s="947"/>
      <c r="AA1622" s="947"/>
      <c r="AB1622" s="947"/>
      <c r="AC1622" s="947"/>
      <c r="AD1622" s="947"/>
      <c r="AE1622" s="947"/>
    </row>
    <row r="1623" spans="1:32" s="20" customFormat="1" ht="21.75" customHeight="1">
      <c r="A1623" s="25"/>
      <c r="B1623" s="126"/>
      <c r="C1623" s="126"/>
      <c r="D1623" s="126"/>
      <c r="E1623" s="126"/>
      <c r="F1623" s="126"/>
      <c r="G1623" s="126"/>
      <c r="H1623" s="126"/>
      <c r="I1623" s="126"/>
      <c r="J1623" s="483"/>
      <c r="K1623" s="483"/>
      <c r="L1623" s="483"/>
      <c r="M1623" s="483"/>
      <c r="N1623" s="483"/>
      <c r="O1623" s="483"/>
      <c r="P1623" s="483"/>
      <c r="Q1623" s="483"/>
      <c r="R1623" s="483"/>
      <c r="S1623" s="483"/>
      <c r="T1623" s="484"/>
      <c r="U1623" s="484"/>
      <c r="V1623" s="27"/>
    </row>
    <row r="1624" spans="1:32" s="20" customFormat="1" ht="17.25" customHeight="1">
      <c r="A1624" s="14"/>
      <c r="B1624" s="9" t="s">
        <v>497</v>
      </c>
      <c r="C1624" s="491" t="s">
        <v>498</v>
      </c>
      <c r="D1624" s="491"/>
      <c r="E1624" s="491"/>
      <c r="F1624" s="491"/>
      <c r="G1624" s="491"/>
      <c r="H1624" s="491"/>
      <c r="I1624" s="491"/>
      <c r="J1624" s="491"/>
      <c r="K1624" s="491"/>
      <c r="L1624" s="491"/>
      <c r="M1624" s="491"/>
      <c r="N1624" s="491"/>
      <c r="O1624" s="491"/>
      <c r="P1624" s="491"/>
      <c r="Q1624" s="491"/>
      <c r="R1624" s="491"/>
      <c r="S1624" s="491"/>
      <c r="T1624" s="491"/>
      <c r="U1624" s="491"/>
      <c r="V1624" s="27"/>
    </row>
    <row r="1625" spans="1:32" s="20" customFormat="1" ht="68.25" customHeight="1">
      <c r="A1625" s="14"/>
      <c r="C1625" s="707" t="str">
        <f>"Saldo Kewajiban per "&amp;'[1]2.ISIAN DATA SKPD'!D8&amp;" dan "&amp;'[1]2.ISIAN DATA SKPD'!D12&amp;" adalah Rp. "&amp;FIXED('[1]4.NERACA'!I158)&amp;" dan Rp. "&amp;FIXED('[1]4.NERACA'!D157)&amp;" mengalami penurunan sebesar Rp. "&amp;FIXED('[1]4.NERACA'!K158)&amp;" atau sebesar "&amp;FIXED('[1]4.NERACA'!J158)&amp;"% dari tahun "&amp;'[1]2.ISIAN DATA SKPD'!D12&amp;"."</f>
        <v>Saldo Kewajiban per 31 Desember 2017 dan 2016 adalah Rp. 77,235,779.00 dan Rp. 83,612,607,295.00 mengalami penurunan sebesar Rp. -83,535,371,516.00 atau sebesar -99.91% dari tahun 2016.</v>
      </c>
      <c r="D1625" s="707"/>
      <c r="E1625" s="707"/>
      <c r="F1625" s="707"/>
      <c r="G1625" s="707"/>
      <c r="H1625" s="707"/>
      <c r="I1625" s="707"/>
      <c r="J1625" s="707"/>
      <c r="K1625" s="707"/>
      <c r="L1625" s="707"/>
      <c r="M1625" s="707"/>
      <c r="N1625" s="707"/>
      <c r="O1625" s="707"/>
      <c r="P1625" s="707"/>
      <c r="Q1625" s="707"/>
      <c r="R1625" s="707"/>
      <c r="S1625" s="707"/>
      <c r="T1625" s="707"/>
      <c r="U1625" s="707"/>
      <c r="V1625" s="27"/>
    </row>
    <row r="1626" spans="1:32" s="20" customFormat="1" ht="17.25" customHeight="1">
      <c r="A1626" s="14"/>
      <c r="B1626" s="9" t="s">
        <v>499</v>
      </c>
      <c r="C1626" s="561"/>
      <c r="D1626" s="561"/>
      <c r="E1626" s="561"/>
      <c r="F1626" s="561"/>
      <c r="G1626" s="561"/>
      <c r="H1626" s="561"/>
      <c r="I1626" s="561"/>
      <c r="J1626" s="561"/>
      <c r="K1626" s="561"/>
      <c r="L1626" s="561"/>
      <c r="M1626" s="561"/>
      <c r="N1626" s="561"/>
      <c r="O1626" s="561"/>
      <c r="P1626" s="561"/>
      <c r="Q1626" s="561"/>
      <c r="R1626" s="561"/>
      <c r="S1626" s="561"/>
      <c r="T1626" s="561"/>
      <c r="U1626" s="561"/>
      <c r="V1626" s="27"/>
    </row>
    <row r="1627" spans="1:32" s="20" customFormat="1" ht="63" customHeight="1">
      <c r="A1627" s="14"/>
      <c r="C1627" s="707" t="str">
        <f>"Saldo Kewajiban Jangka Pendek per "&amp;'[1]2.ISIAN DATA SKPD'!D8&amp;" dan "&amp;'[1]2.ISIAN DATA SKPD'!D12&amp;" adalah Rp. "&amp;FIXED('[1]4.NERACA'!I159)&amp;" dan Rp. "&amp;FIXED('[1]4.NERACA'!D158)&amp;" mengalami kenaikan/penurunan sebesar Rp. "&amp;FIXED('[1]4.NERACA'!K159)&amp;" atau sebesar "&amp;FIXED('[1]4.NERACA'!J159)&amp;"% dari tahun "&amp;'[1]2.ISIAN DATA SKPD'!D12&amp;"."</f>
        <v>Saldo Kewajiban Jangka Pendek per 31 Desember 2017 dan 2016 adalah Rp. 77,235,779.00 dan Rp. 165,392,058.00 mengalami kenaikan/penurunan sebesar Rp. -88,156,279.00 atau sebesar -53.30% dari tahun 2016.</v>
      </c>
      <c r="D1627" s="707"/>
      <c r="E1627" s="707"/>
      <c r="F1627" s="707"/>
      <c r="G1627" s="707"/>
      <c r="H1627" s="707"/>
      <c r="I1627" s="707"/>
      <c r="J1627" s="707"/>
      <c r="K1627" s="707"/>
      <c r="L1627" s="707"/>
      <c r="M1627" s="707"/>
      <c r="N1627" s="707"/>
      <c r="O1627" s="707"/>
      <c r="P1627" s="707"/>
      <c r="Q1627" s="707"/>
      <c r="R1627" s="707"/>
      <c r="S1627" s="707"/>
      <c r="T1627" s="707"/>
      <c r="U1627" s="707"/>
      <c r="V1627" s="27"/>
    </row>
    <row r="1628" spans="1:32" s="20" customFormat="1" ht="33" customHeight="1">
      <c r="A1628" s="14"/>
      <c r="C1628" s="707" t="str">
        <f>"Perincian saldo kewajiban per "&amp;'[1]2.ISIAN DATA SKPD'!D8&amp;" adalah sebagai berikut :"</f>
        <v>Perincian saldo kewajiban per 31 Desember 2017 adalah sebagai berikut :</v>
      </c>
      <c r="D1628" s="707"/>
      <c r="E1628" s="707"/>
      <c r="F1628" s="707"/>
      <c r="G1628" s="707"/>
      <c r="H1628" s="707"/>
      <c r="I1628" s="707"/>
      <c r="J1628" s="707"/>
      <c r="K1628" s="707"/>
      <c r="L1628" s="707"/>
      <c r="M1628" s="707"/>
      <c r="N1628" s="707"/>
      <c r="O1628" s="707"/>
      <c r="P1628" s="707"/>
      <c r="Q1628" s="707"/>
      <c r="R1628" s="707"/>
      <c r="S1628" s="707"/>
      <c r="T1628" s="707"/>
      <c r="U1628" s="707"/>
      <c r="V1628" s="27"/>
    </row>
    <row r="1629" spans="1:32" s="20" customFormat="1" ht="17.25" customHeight="1">
      <c r="A1629" s="14"/>
      <c r="B1629" s="164"/>
      <c r="C1629" s="164"/>
      <c r="D1629" s="164"/>
      <c r="E1629" s="164"/>
      <c r="F1629" s="164"/>
      <c r="G1629" s="164"/>
      <c r="H1629" s="164"/>
      <c r="I1629" s="164"/>
      <c r="J1629" s="164"/>
      <c r="K1629" s="164"/>
      <c r="L1629" s="164"/>
      <c r="M1629" s="164"/>
      <c r="N1629" s="164"/>
      <c r="O1629" s="164"/>
      <c r="P1629" s="164"/>
      <c r="Q1629" s="164"/>
      <c r="R1629" s="164"/>
      <c r="S1629" s="164"/>
      <c r="T1629" s="164"/>
      <c r="U1629" s="164"/>
      <c r="V1629" s="27"/>
    </row>
    <row r="1630" spans="1:32" s="20" customFormat="1" ht="28.35" customHeight="1">
      <c r="A1630" s="14"/>
      <c r="B1630" s="869" t="s">
        <v>147</v>
      </c>
      <c r="C1630" s="303" t="s">
        <v>84</v>
      </c>
      <c r="D1630" s="304"/>
      <c r="E1630" s="304"/>
      <c r="F1630" s="304"/>
      <c r="G1630" s="304"/>
      <c r="H1630" s="304"/>
      <c r="I1630" s="304"/>
      <c r="J1630" s="304"/>
      <c r="K1630" s="304"/>
      <c r="L1630" s="304"/>
      <c r="M1630" s="305"/>
      <c r="N1630" s="132" t="s">
        <v>143</v>
      </c>
      <c r="O1630" s="132"/>
      <c r="P1630" s="132"/>
      <c r="Q1630" s="132"/>
      <c r="R1630" s="132"/>
      <c r="S1630" s="132"/>
      <c r="T1630" s="132"/>
      <c r="U1630" s="132"/>
      <c r="V1630" s="27"/>
    </row>
    <row r="1631" spans="1:32" s="20" customFormat="1" ht="28.35" customHeight="1">
      <c r="A1631" s="14"/>
      <c r="B1631" s="948">
        <v>1</v>
      </c>
      <c r="C1631" s="468" t="s">
        <v>500</v>
      </c>
      <c r="D1631" s="469"/>
      <c r="E1631" s="469"/>
      <c r="F1631" s="469"/>
      <c r="G1631" s="469"/>
      <c r="H1631" s="469"/>
      <c r="I1631" s="469"/>
      <c r="J1631" s="469"/>
      <c r="K1631" s="469"/>
      <c r="L1631" s="469"/>
      <c r="M1631" s="470"/>
      <c r="N1631" s="949">
        <f>'[1]4.NERACA'!I160</f>
        <v>0</v>
      </c>
      <c r="O1631" s="950"/>
      <c r="P1631" s="950"/>
      <c r="Q1631" s="950"/>
      <c r="R1631" s="950"/>
      <c r="S1631" s="950"/>
      <c r="T1631" s="950"/>
      <c r="U1631" s="950"/>
      <c r="V1631" s="27"/>
    </row>
    <row r="1632" spans="1:32" s="20" customFormat="1" ht="28.35" customHeight="1">
      <c r="A1632" s="14"/>
      <c r="B1632" s="948">
        <f>B1631+1</f>
        <v>2</v>
      </c>
      <c r="C1632" s="468" t="s">
        <v>501</v>
      </c>
      <c r="D1632" s="469"/>
      <c r="E1632" s="469"/>
      <c r="F1632" s="469"/>
      <c r="G1632" s="469"/>
      <c r="H1632" s="469"/>
      <c r="I1632" s="469"/>
      <c r="J1632" s="469"/>
      <c r="K1632" s="469"/>
      <c r="L1632" s="469"/>
      <c r="M1632" s="470"/>
      <c r="N1632" s="949">
        <f>'[1]4.NERACA'!I169</f>
        <v>0</v>
      </c>
      <c r="O1632" s="950"/>
      <c r="P1632" s="950"/>
      <c r="Q1632" s="950"/>
      <c r="R1632" s="950"/>
      <c r="S1632" s="950"/>
      <c r="T1632" s="950"/>
      <c r="U1632" s="950"/>
      <c r="V1632" s="27"/>
    </row>
    <row r="1633" spans="1:32" s="20" customFormat="1" ht="28.35" customHeight="1">
      <c r="A1633" s="14"/>
      <c r="B1633" s="948">
        <f>B1632+1</f>
        <v>3</v>
      </c>
      <c r="C1633" s="468" t="s">
        <v>502</v>
      </c>
      <c r="D1633" s="469"/>
      <c r="E1633" s="469"/>
      <c r="F1633" s="469"/>
      <c r="G1633" s="469"/>
      <c r="H1633" s="469"/>
      <c r="I1633" s="469"/>
      <c r="J1633" s="469"/>
      <c r="K1633" s="469"/>
      <c r="L1633" s="469"/>
      <c r="M1633" s="470"/>
      <c r="N1633" s="949">
        <f>'[1]4.NERACA'!I176</f>
        <v>0</v>
      </c>
      <c r="O1633" s="950"/>
      <c r="P1633" s="950"/>
      <c r="Q1633" s="950"/>
      <c r="R1633" s="950"/>
      <c r="S1633" s="950"/>
      <c r="T1633" s="950"/>
      <c r="U1633" s="950"/>
      <c r="V1633" s="27"/>
    </row>
    <row r="1634" spans="1:32" s="20" customFormat="1" ht="28.35" customHeight="1">
      <c r="A1634" s="14"/>
      <c r="B1634" s="948">
        <f>B1633+1</f>
        <v>4</v>
      </c>
      <c r="C1634" s="468" t="s">
        <v>503</v>
      </c>
      <c r="D1634" s="469"/>
      <c r="E1634" s="469"/>
      <c r="F1634" s="469"/>
      <c r="G1634" s="469"/>
      <c r="H1634" s="469"/>
      <c r="I1634" s="469"/>
      <c r="J1634" s="469"/>
      <c r="K1634" s="469"/>
      <c r="L1634" s="469"/>
      <c r="M1634" s="470"/>
      <c r="N1634" s="949">
        <f>'[1]4.NERACA'!I182</f>
        <v>24900000</v>
      </c>
      <c r="O1634" s="950"/>
      <c r="P1634" s="950"/>
      <c r="Q1634" s="950"/>
      <c r="R1634" s="950"/>
      <c r="S1634" s="950"/>
      <c r="T1634" s="950"/>
      <c r="U1634" s="950"/>
      <c r="V1634" s="27"/>
    </row>
    <row r="1635" spans="1:32" s="20" customFormat="1" ht="28.35" customHeight="1">
      <c r="A1635" s="14"/>
      <c r="B1635" s="948">
        <f>B1634+1</f>
        <v>5</v>
      </c>
      <c r="C1635" s="468" t="s">
        <v>504</v>
      </c>
      <c r="D1635" s="469"/>
      <c r="E1635" s="469"/>
      <c r="F1635" s="469"/>
      <c r="G1635" s="469"/>
      <c r="H1635" s="469"/>
      <c r="I1635" s="469"/>
      <c r="J1635" s="469"/>
      <c r="K1635" s="469"/>
      <c r="L1635" s="469"/>
      <c r="M1635" s="470"/>
      <c r="N1635" s="949">
        <f>'[1]4.NERACA'!I187</f>
        <v>52335779</v>
      </c>
      <c r="O1635" s="950"/>
      <c r="P1635" s="950"/>
      <c r="Q1635" s="950"/>
      <c r="R1635" s="950"/>
      <c r="S1635" s="950"/>
      <c r="T1635" s="950"/>
      <c r="U1635" s="950"/>
      <c r="V1635" s="27"/>
    </row>
    <row r="1636" spans="1:32" s="20" customFormat="1" ht="28.35" customHeight="1">
      <c r="A1636" s="14"/>
      <c r="B1636" s="948">
        <f>B1635+1</f>
        <v>6</v>
      </c>
      <c r="C1636" s="468" t="s">
        <v>505</v>
      </c>
      <c r="D1636" s="469"/>
      <c r="E1636" s="469"/>
      <c r="F1636" s="469"/>
      <c r="G1636" s="469"/>
      <c r="H1636" s="469"/>
      <c r="I1636" s="469"/>
      <c r="J1636" s="469"/>
      <c r="K1636" s="469"/>
      <c r="L1636" s="469"/>
      <c r="M1636" s="470"/>
      <c r="N1636" s="949">
        <f>'[1]4.NERACA'!I194</f>
        <v>0</v>
      </c>
      <c r="O1636" s="950"/>
      <c r="P1636" s="950"/>
      <c r="Q1636" s="950"/>
      <c r="R1636" s="950"/>
      <c r="S1636" s="950"/>
      <c r="T1636" s="950"/>
      <c r="U1636" s="950"/>
      <c r="V1636" s="27"/>
    </row>
    <row r="1637" spans="1:32" s="20" customFormat="1" ht="28.35" customHeight="1">
      <c r="A1637" s="14"/>
      <c r="B1637" s="303" t="s">
        <v>506</v>
      </c>
      <c r="C1637" s="304"/>
      <c r="D1637" s="304"/>
      <c r="E1637" s="304"/>
      <c r="F1637" s="304"/>
      <c r="G1637" s="304"/>
      <c r="H1637" s="304"/>
      <c r="I1637" s="304"/>
      <c r="J1637" s="304"/>
      <c r="K1637" s="304"/>
      <c r="L1637" s="304"/>
      <c r="M1637" s="305"/>
      <c r="N1637" s="951">
        <f>SUM(N1631:U1636)</f>
        <v>77235779</v>
      </c>
      <c r="O1637" s="132"/>
      <c r="P1637" s="132"/>
      <c r="Q1637" s="132"/>
      <c r="R1637" s="132"/>
      <c r="S1637" s="132"/>
      <c r="T1637" s="132"/>
      <c r="U1637" s="132"/>
    </row>
    <row r="1638" spans="1:32" s="20" customFormat="1" ht="15.75" customHeight="1">
      <c r="A1638" s="14"/>
      <c r="B1638" s="952"/>
      <c r="C1638" s="952"/>
      <c r="D1638" s="952"/>
      <c r="E1638" s="952"/>
      <c r="F1638" s="952"/>
      <c r="G1638" s="952"/>
      <c r="H1638" s="952"/>
      <c r="I1638" s="952"/>
      <c r="J1638" s="952"/>
      <c r="K1638" s="952"/>
      <c r="L1638" s="952"/>
      <c r="M1638" s="952"/>
      <c r="N1638" s="953"/>
      <c r="O1638" s="952"/>
      <c r="P1638" s="952"/>
      <c r="Q1638" s="952"/>
      <c r="R1638" s="952"/>
      <c r="S1638" s="952"/>
      <c r="T1638" s="952"/>
      <c r="U1638" s="952"/>
      <c r="V1638" s="27"/>
    </row>
    <row r="1639" spans="1:32" s="20" customFormat="1" ht="28.5" customHeight="1">
      <c r="A1639" s="14"/>
      <c r="B1639" s="954"/>
      <c r="C1639" s="491" t="s">
        <v>507</v>
      </c>
      <c r="D1639" s="491"/>
      <c r="E1639" s="491"/>
      <c r="F1639" s="491"/>
      <c r="G1639" s="491"/>
      <c r="H1639" s="491"/>
      <c r="I1639" s="491"/>
      <c r="J1639" s="491"/>
      <c r="K1639" s="491"/>
      <c r="L1639" s="491"/>
      <c r="M1639" s="491"/>
      <c r="N1639" s="491"/>
      <c r="O1639" s="491"/>
      <c r="P1639" s="491"/>
      <c r="Q1639" s="491"/>
      <c r="R1639" s="491"/>
      <c r="S1639" s="491"/>
      <c r="T1639" s="491"/>
      <c r="U1639" s="491"/>
      <c r="V1639" s="27"/>
    </row>
    <row r="1640" spans="1:32" s="20" customFormat="1" ht="67.5" customHeight="1">
      <c r="A1640" s="14"/>
      <c r="C1640" s="313" t="str">
        <f>"Nilai Utang kepada pihak ketiga per "&amp;'[1]2.ISIAN DATA SKPD'!D8&amp;" dan "&amp;'[1]2.ISIAN DATA SKPD'!D12&amp;" masing-masing sebesar Rp. "&amp;FIXED(R1653)&amp;" dan Rp. "&amp;FIXED(B1653)&amp;" mengalami kenaikan/penurunan sebesar Rp. "&amp;FIXED(AC1653)&amp;" atau sebesar "&amp;FIXED(Y1653)&amp;"% dari tahun "&amp;'[1]2.ISIAN DATA SKPD'!D12&amp;"."</f>
        <v>Nilai Utang kepada pihak ketiga per 31 Desember 2017 dan 2016 masing-masing sebesar Rp. 0.00 dan Rp. 0.00 mengalami kenaikan/penurunan sebesar Rp. 0.00 atau sebesar 0.00% dari tahun 2016.</v>
      </c>
      <c r="D1640" s="313"/>
      <c r="E1640" s="313"/>
      <c r="F1640" s="313"/>
      <c r="G1640" s="313"/>
      <c r="H1640" s="313"/>
      <c r="I1640" s="313"/>
      <c r="J1640" s="313"/>
      <c r="K1640" s="313"/>
      <c r="L1640" s="313"/>
      <c r="M1640" s="313"/>
      <c r="N1640" s="313"/>
      <c r="O1640" s="313"/>
      <c r="P1640" s="313"/>
      <c r="Q1640" s="313"/>
      <c r="R1640" s="313"/>
      <c r="S1640" s="313"/>
      <c r="T1640" s="313"/>
      <c r="U1640" s="313"/>
      <c r="V1640" s="27"/>
    </row>
    <row r="1641" spans="1:32" s="20" customFormat="1" ht="81" customHeight="1">
      <c r="A1641" s="14"/>
      <c r="C1641" s="313" t="str">
        <f>"Utang kepada Pihak Ketiga merupakan kewajiban yang masih harus dibayar dan segera diselesaikan kepada pihak ketiga lainnya dalam waktu kurang dari 12 (dua belas bulan) sejak tanggal pelaporan. Adapun rincian Utang Pihak Ketiga pada "&amp;'[1]2.ISIAN DATA SKPD'!D2&amp;" per tanggal pelaporan adalah sebagai berikut: "</f>
        <v xml:space="preserve">Utang kepada Pihak Ketiga merupakan kewajiban yang masih harus dibayar dan segera diselesaikan kepada pihak ketiga lainnya dalam waktu kurang dari 12 (dua belas bulan) sejak tanggal pelaporan. Adapun rincian Utang Pihak Ketiga pada Dinas Pekerjaan Umum dan Penataan Ruang per tanggal pelaporan adalah sebagai berikut: </v>
      </c>
      <c r="D1641" s="313"/>
      <c r="E1641" s="313"/>
      <c r="F1641" s="313"/>
      <c r="G1641" s="313"/>
      <c r="H1641" s="313"/>
      <c r="I1641" s="313"/>
      <c r="J1641" s="313"/>
      <c r="K1641" s="313"/>
      <c r="L1641" s="313"/>
      <c r="M1641" s="313"/>
      <c r="N1641" s="313"/>
      <c r="O1641" s="313"/>
      <c r="P1641" s="313"/>
      <c r="Q1641" s="313"/>
      <c r="R1641" s="313"/>
      <c r="S1641" s="313"/>
      <c r="T1641" s="313"/>
      <c r="U1641" s="313"/>
      <c r="V1641" s="27"/>
    </row>
    <row r="1642" spans="1:32" s="20" customFormat="1" ht="8.25" customHeight="1">
      <c r="A1642" s="14"/>
      <c r="C1642" s="882"/>
      <c r="D1642" s="882"/>
      <c r="E1642" s="882"/>
      <c r="F1642" s="882"/>
      <c r="G1642" s="882"/>
      <c r="H1642" s="882"/>
      <c r="I1642" s="882"/>
      <c r="J1642" s="882"/>
      <c r="K1642" s="882"/>
      <c r="L1642" s="882"/>
      <c r="M1642" s="882"/>
      <c r="N1642" s="882"/>
      <c r="O1642" s="882"/>
      <c r="P1642" s="882"/>
      <c r="Q1642" s="882"/>
      <c r="R1642" s="882"/>
      <c r="S1642" s="882"/>
      <c r="T1642" s="882"/>
      <c r="U1642" s="882"/>
      <c r="V1642" s="27"/>
    </row>
    <row r="1643" spans="1:32" s="20" customFormat="1" ht="28.35" customHeight="1">
      <c r="A1643" s="726" t="s">
        <v>84</v>
      </c>
      <c r="B1643" s="573" t="s">
        <v>411</v>
      </c>
      <c r="C1643" s="457"/>
      <c r="D1643" s="457"/>
      <c r="E1643" s="458"/>
      <c r="F1643" s="786" t="s">
        <v>412</v>
      </c>
      <c r="G1643" s="786"/>
      <c r="H1643" s="786"/>
      <c r="I1643" s="786"/>
      <c r="J1643" s="786"/>
      <c r="K1643" s="786"/>
      <c r="L1643" s="786" t="s">
        <v>413</v>
      </c>
      <c r="M1643" s="786"/>
      <c r="N1643" s="786"/>
      <c r="O1643" s="786"/>
      <c r="P1643" s="786"/>
      <c r="Q1643" s="786"/>
      <c r="R1643" s="99" t="s">
        <v>414</v>
      </c>
      <c r="S1643" s="99"/>
      <c r="T1643" s="99"/>
      <c r="U1643" s="99"/>
      <c r="V1643" s="27"/>
    </row>
    <row r="1644" spans="1:32" s="20" customFormat="1" ht="28.35" customHeight="1">
      <c r="A1644" s="732"/>
      <c r="B1644" s="787">
        <f>B1373</f>
        <v>2017</v>
      </c>
      <c r="C1644" s="788"/>
      <c r="D1644" s="788"/>
      <c r="E1644" s="789"/>
      <c r="F1644" s="99" t="s">
        <v>415</v>
      </c>
      <c r="G1644" s="99"/>
      <c r="H1644" s="99"/>
      <c r="I1644" s="99" t="s">
        <v>416</v>
      </c>
      <c r="J1644" s="99"/>
      <c r="K1644" s="99"/>
      <c r="L1644" s="99" t="s">
        <v>415</v>
      </c>
      <c r="M1644" s="99"/>
      <c r="N1644" s="99"/>
      <c r="O1644" s="790" t="s">
        <v>416</v>
      </c>
      <c r="P1644" s="790"/>
      <c r="Q1644" s="790"/>
      <c r="R1644" s="733">
        <f>R1373</f>
        <v>2017</v>
      </c>
      <c r="S1644" s="734"/>
      <c r="T1644" s="734"/>
      <c r="U1644" s="735"/>
      <c r="V1644" s="804"/>
      <c r="W1644" s="805"/>
      <c r="X1644" s="805"/>
      <c r="Y1644" s="208" t="s">
        <v>417</v>
      </c>
      <c r="Z1644" s="805"/>
      <c r="AA1644" s="805"/>
      <c r="AB1644" s="805"/>
      <c r="AC1644" s="712" t="s">
        <v>404</v>
      </c>
      <c r="AD1644" s="713"/>
      <c r="AE1644" s="713"/>
      <c r="AF1644" s="806"/>
    </row>
    <row r="1645" spans="1:32" s="20" customFormat="1" ht="18.75" customHeight="1">
      <c r="A1645" s="955" t="str">
        <f>'[1]4.NERACA'!C161</f>
        <v>Utang Taspen</v>
      </c>
      <c r="B1645" s="757">
        <f>'[1]4.NERACA'!D160</f>
        <v>0</v>
      </c>
      <c r="C1645" s="758"/>
      <c r="D1645" s="758"/>
      <c r="E1645" s="759"/>
      <c r="F1645" s="931">
        <f>'[1]4.NERACA'!E160</f>
        <v>0</v>
      </c>
      <c r="G1645" s="931"/>
      <c r="H1645" s="931"/>
      <c r="I1645" s="931">
        <f>'[1]4.NERACA'!F160</f>
        <v>0</v>
      </c>
      <c r="J1645" s="931"/>
      <c r="K1645" s="931"/>
      <c r="L1645" s="956">
        <f>'[1]4.NERACA'!G161</f>
        <v>0</v>
      </c>
      <c r="M1645" s="956"/>
      <c r="N1645" s="956"/>
      <c r="O1645" s="956">
        <f>'[1]4.NERACA'!H161</f>
        <v>0</v>
      </c>
      <c r="P1645" s="956"/>
      <c r="Q1645" s="956"/>
      <c r="R1645" s="931">
        <f t="shared" ref="R1645:R1652" si="27">B1645-F1645+I1645-L1645+O1645</f>
        <v>0</v>
      </c>
      <c r="S1645" s="931"/>
      <c r="T1645" s="931"/>
      <c r="U1645" s="931"/>
      <c r="V1645" s="808"/>
      <c r="W1645" s="805"/>
      <c r="X1645" s="805"/>
      <c r="Y1645" s="208" t="e">
        <f t="shared" ref="Y1645:Y1652" si="28">(R1645-B1645)/B1645*100</f>
        <v>#DIV/0!</v>
      </c>
      <c r="Z1645" s="805"/>
      <c r="AA1645" s="805"/>
      <c r="AB1645" s="805"/>
      <c r="AC1645" s="451">
        <f t="shared" ref="AC1645:AC1653" si="29">R1645-B1645</f>
        <v>0</v>
      </c>
      <c r="AD1645" s="452"/>
      <c r="AE1645" s="452"/>
      <c r="AF1645" s="453"/>
    </row>
    <row r="1646" spans="1:32" s="20" customFormat="1" ht="17.25" customHeight="1">
      <c r="A1646" s="955" t="str">
        <f>'[1]4.NERACA'!C162</f>
        <v>Utang Iuran Jaminan Kesehatan</v>
      </c>
      <c r="B1646" s="757">
        <f>'[1]4.NERACA'!D161</f>
        <v>0</v>
      </c>
      <c r="C1646" s="758"/>
      <c r="D1646" s="758"/>
      <c r="E1646" s="759"/>
      <c r="F1646" s="931">
        <f>'[1]4.NERACA'!E161</f>
        <v>0</v>
      </c>
      <c r="G1646" s="931"/>
      <c r="H1646" s="931"/>
      <c r="I1646" s="931">
        <f>'[1]4.NERACA'!F161</f>
        <v>0</v>
      </c>
      <c r="J1646" s="931"/>
      <c r="K1646" s="931"/>
      <c r="L1646" s="931">
        <f>'[1]4.NERACA'!G161</f>
        <v>0</v>
      </c>
      <c r="M1646" s="931"/>
      <c r="N1646" s="931"/>
      <c r="O1646" s="931">
        <f>'[1]4.NERACA'!H161</f>
        <v>0</v>
      </c>
      <c r="P1646" s="931"/>
      <c r="Q1646" s="931"/>
      <c r="R1646" s="931">
        <f t="shared" si="27"/>
        <v>0</v>
      </c>
      <c r="S1646" s="931"/>
      <c r="T1646" s="931"/>
      <c r="U1646" s="931"/>
      <c r="V1646" s="808"/>
      <c r="W1646" s="805"/>
      <c r="X1646" s="805"/>
      <c r="Y1646" s="208" t="e">
        <f t="shared" si="28"/>
        <v>#DIV/0!</v>
      </c>
      <c r="Z1646" s="805"/>
      <c r="AA1646" s="805"/>
      <c r="AB1646" s="805"/>
      <c r="AC1646" s="451">
        <f t="shared" si="29"/>
        <v>0</v>
      </c>
      <c r="AD1646" s="452"/>
      <c r="AE1646" s="452"/>
      <c r="AF1646" s="453"/>
    </row>
    <row r="1647" spans="1:32" s="20" customFormat="1" ht="17.25" customHeight="1">
      <c r="A1647" s="955" t="str">
        <f>'[1]4.NERACA'!C163</f>
        <v>Utang PPh Pusat</v>
      </c>
      <c r="B1647" s="757">
        <f>'[1]4.NERACA'!D162</f>
        <v>0</v>
      </c>
      <c r="C1647" s="758"/>
      <c r="D1647" s="758"/>
      <c r="E1647" s="759"/>
      <c r="F1647" s="931">
        <f>'[1]4.NERACA'!E162</f>
        <v>0</v>
      </c>
      <c r="G1647" s="931"/>
      <c r="H1647" s="931"/>
      <c r="I1647" s="931">
        <f>'[1]4.NERACA'!F162</f>
        <v>0</v>
      </c>
      <c r="J1647" s="931"/>
      <c r="K1647" s="931"/>
      <c r="L1647" s="931">
        <f>'[1]4.NERACA'!G162</f>
        <v>0</v>
      </c>
      <c r="M1647" s="931"/>
      <c r="N1647" s="931"/>
      <c r="O1647" s="931">
        <f>'[1]4.NERACA'!H162</f>
        <v>0</v>
      </c>
      <c r="P1647" s="931"/>
      <c r="Q1647" s="931"/>
      <c r="R1647" s="931">
        <f t="shared" si="27"/>
        <v>0</v>
      </c>
      <c r="S1647" s="931"/>
      <c r="T1647" s="931"/>
      <c r="U1647" s="931"/>
      <c r="V1647" s="808"/>
      <c r="W1647" s="805"/>
      <c r="X1647" s="805"/>
      <c r="Y1647" s="208" t="e">
        <f t="shared" si="28"/>
        <v>#DIV/0!</v>
      </c>
      <c r="Z1647" s="805"/>
      <c r="AA1647" s="805"/>
      <c r="AB1647" s="805"/>
      <c r="AC1647" s="451">
        <f t="shared" si="29"/>
        <v>0</v>
      </c>
      <c r="AD1647" s="452"/>
      <c r="AE1647" s="452"/>
      <c r="AF1647" s="453"/>
    </row>
    <row r="1648" spans="1:32" s="20" customFormat="1" ht="14.25" customHeight="1">
      <c r="A1648" s="955" t="str">
        <f>'[1]4.NERACA'!C164</f>
        <v>Utang  PPN Pusat</v>
      </c>
      <c r="B1648" s="757">
        <f>'[1]4.NERACA'!D163</f>
        <v>0</v>
      </c>
      <c r="C1648" s="758"/>
      <c r="D1648" s="758"/>
      <c r="E1648" s="759"/>
      <c r="F1648" s="931">
        <f>'[1]4.NERACA'!E163</f>
        <v>0</v>
      </c>
      <c r="G1648" s="931"/>
      <c r="H1648" s="931"/>
      <c r="I1648" s="931">
        <f>'[1]4.NERACA'!F163</f>
        <v>0</v>
      </c>
      <c r="J1648" s="931"/>
      <c r="K1648" s="931"/>
      <c r="L1648" s="956">
        <f>'[1]4.NERACA'!G163</f>
        <v>2609489021</v>
      </c>
      <c r="M1648" s="956"/>
      <c r="N1648" s="956"/>
      <c r="O1648" s="956">
        <f>'[1]4.NERACA'!H163</f>
        <v>2609489021</v>
      </c>
      <c r="P1648" s="956"/>
      <c r="Q1648" s="956"/>
      <c r="R1648" s="931">
        <f t="shared" si="27"/>
        <v>0</v>
      </c>
      <c r="S1648" s="931"/>
      <c r="T1648" s="931"/>
      <c r="U1648" s="931"/>
      <c r="V1648" s="808"/>
      <c r="W1648" s="805"/>
      <c r="X1648" s="805"/>
      <c r="Y1648" s="208" t="e">
        <f t="shared" si="28"/>
        <v>#DIV/0!</v>
      </c>
      <c r="Z1648" s="805"/>
      <c r="AA1648" s="805"/>
      <c r="AB1648" s="805"/>
      <c r="AC1648" s="451">
        <f t="shared" si="29"/>
        <v>0</v>
      </c>
      <c r="AD1648" s="452"/>
      <c r="AE1648" s="452"/>
      <c r="AF1648" s="453"/>
    </row>
    <row r="1649" spans="1:32" s="20" customFormat="1" ht="30" customHeight="1">
      <c r="A1649" s="955" t="str">
        <f>'[1]4.NERACA'!C165</f>
        <v>Utang Taperum</v>
      </c>
      <c r="B1649" s="757">
        <f>'[1]4.NERACA'!D164</f>
        <v>0</v>
      </c>
      <c r="C1649" s="758"/>
      <c r="D1649" s="758"/>
      <c r="E1649" s="759"/>
      <c r="F1649" s="931">
        <f>'[1]4.NERACA'!E164</f>
        <v>0</v>
      </c>
      <c r="G1649" s="931"/>
      <c r="H1649" s="931"/>
      <c r="I1649" s="931">
        <f>'[1]4.NERACA'!F164</f>
        <v>0</v>
      </c>
      <c r="J1649" s="931"/>
      <c r="K1649" s="931"/>
      <c r="L1649" s="956">
        <f>'[1]4.NERACA'!G164</f>
        <v>9835541363</v>
      </c>
      <c r="M1649" s="956"/>
      <c r="N1649" s="956"/>
      <c r="O1649" s="956">
        <f>'[1]4.NERACA'!H164</f>
        <v>9835541363</v>
      </c>
      <c r="P1649" s="956"/>
      <c r="Q1649" s="956"/>
      <c r="R1649" s="931">
        <f t="shared" si="27"/>
        <v>0</v>
      </c>
      <c r="S1649" s="931"/>
      <c r="T1649" s="931"/>
      <c r="U1649" s="931"/>
      <c r="V1649" s="808"/>
      <c r="W1649" s="805"/>
      <c r="X1649" s="805"/>
      <c r="Y1649" s="208" t="e">
        <f t="shared" si="28"/>
        <v>#DIV/0!</v>
      </c>
      <c r="Z1649" s="805"/>
      <c r="AA1649" s="805"/>
      <c r="AB1649" s="805"/>
      <c r="AC1649" s="451">
        <f t="shared" si="29"/>
        <v>0</v>
      </c>
      <c r="AD1649" s="452"/>
      <c r="AE1649" s="452"/>
      <c r="AF1649" s="453"/>
    </row>
    <row r="1650" spans="1:32" s="20" customFormat="1" ht="16.5" customHeight="1">
      <c r="A1650" s="955" t="str">
        <f>'[1]4.NERACA'!C166</f>
        <v>Utang Iuran Wajib Pegawai</v>
      </c>
      <c r="B1650" s="757">
        <f>'[1]4.NERACA'!D165</f>
        <v>0</v>
      </c>
      <c r="C1650" s="758"/>
      <c r="D1650" s="758"/>
      <c r="E1650" s="759"/>
      <c r="F1650" s="931">
        <f>'[1]4.NERACA'!E165</f>
        <v>0</v>
      </c>
      <c r="G1650" s="931"/>
      <c r="H1650" s="931"/>
      <c r="I1650" s="931">
        <f>'[1]4.NERACA'!F165</f>
        <v>0</v>
      </c>
      <c r="J1650" s="931"/>
      <c r="K1650" s="931"/>
      <c r="L1650" s="931">
        <f>'[1]4.NERACA'!G165</f>
        <v>0</v>
      </c>
      <c r="M1650" s="931"/>
      <c r="N1650" s="931"/>
      <c r="O1650" s="931">
        <f>'[1]4.NERACA'!H165</f>
        <v>0</v>
      </c>
      <c r="P1650" s="931"/>
      <c r="Q1650" s="931"/>
      <c r="R1650" s="931">
        <f t="shared" si="27"/>
        <v>0</v>
      </c>
      <c r="S1650" s="931"/>
      <c r="T1650" s="931"/>
      <c r="U1650" s="931"/>
      <c r="V1650" s="808"/>
      <c r="W1650" s="805"/>
      <c r="X1650" s="805"/>
      <c r="Y1650" s="208" t="e">
        <f t="shared" si="28"/>
        <v>#DIV/0!</v>
      </c>
      <c r="Z1650" s="805"/>
      <c r="AA1650" s="805"/>
      <c r="AB1650" s="805"/>
      <c r="AC1650" s="451">
        <f t="shared" si="29"/>
        <v>0</v>
      </c>
      <c r="AD1650" s="452"/>
      <c r="AE1650" s="452"/>
      <c r="AF1650" s="453"/>
    </row>
    <row r="1651" spans="1:32" s="20" customFormat="1" ht="14.25" customHeight="1">
      <c r="A1651" s="955" t="str">
        <f>'[1]4.NERACA'!C167</f>
        <v>Utang Perhitungan Pihak Ketiga Lainnya</v>
      </c>
      <c r="B1651" s="757">
        <f>'[1]4.NERACA'!D166</f>
        <v>0</v>
      </c>
      <c r="C1651" s="758"/>
      <c r="D1651" s="758"/>
      <c r="E1651" s="759"/>
      <c r="F1651" s="931">
        <f>'[1]4.NERACA'!E166</f>
        <v>0</v>
      </c>
      <c r="G1651" s="931"/>
      <c r="H1651" s="931"/>
      <c r="I1651" s="931">
        <f>'[1]4.NERACA'!F166</f>
        <v>0</v>
      </c>
      <c r="J1651" s="931"/>
      <c r="K1651" s="931"/>
      <c r="L1651" s="931">
        <f>'[1]4.NERACA'!G166</f>
        <v>0</v>
      </c>
      <c r="M1651" s="931"/>
      <c r="N1651" s="931"/>
      <c r="O1651" s="931">
        <f>'[1]4.NERACA'!H166</f>
        <v>0</v>
      </c>
      <c r="P1651" s="931"/>
      <c r="Q1651" s="931"/>
      <c r="R1651" s="931">
        <f t="shared" si="27"/>
        <v>0</v>
      </c>
      <c r="S1651" s="931"/>
      <c r="T1651" s="931"/>
      <c r="U1651" s="931"/>
      <c r="V1651" s="808"/>
      <c r="W1651" s="805"/>
      <c r="X1651" s="805"/>
      <c r="Y1651" s="208" t="e">
        <f t="shared" si="28"/>
        <v>#DIV/0!</v>
      </c>
      <c r="Z1651" s="805"/>
      <c r="AA1651" s="805"/>
      <c r="AB1651" s="805"/>
      <c r="AC1651" s="451">
        <f t="shared" si="29"/>
        <v>0</v>
      </c>
      <c r="AD1651" s="452"/>
      <c r="AE1651" s="452"/>
      <c r="AF1651" s="453"/>
    </row>
    <row r="1652" spans="1:32" s="20" customFormat="1" ht="24.75" customHeight="1">
      <c r="A1652" s="955" t="str">
        <f>'[1]4.NERACA'!C168</f>
        <v>Utang Jaminan</v>
      </c>
      <c r="B1652" s="757">
        <f>'[1]4.NERACA'!D167</f>
        <v>0</v>
      </c>
      <c r="C1652" s="758"/>
      <c r="D1652" s="758"/>
      <c r="E1652" s="759"/>
      <c r="F1652" s="931">
        <f>'[1]4.NERACA'!E167</f>
        <v>0</v>
      </c>
      <c r="G1652" s="931"/>
      <c r="H1652" s="931"/>
      <c r="I1652" s="931">
        <f>'[1]4.NERACA'!F167</f>
        <v>0</v>
      </c>
      <c r="J1652" s="931"/>
      <c r="K1652" s="931"/>
      <c r="L1652" s="931">
        <f>'[1]4.NERACA'!G167</f>
        <v>0</v>
      </c>
      <c r="M1652" s="931"/>
      <c r="N1652" s="931"/>
      <c r="O1652" s="931">
        <f>'[1]4.NERACA'!H167</f>
        <v>0</v>
      </c>
      <c r="P1652" s="931"/>
      <c r="Q1652" s="931"/>
      <c r="R1652" s="931">
        <f t="shared" si="27"/>
        <v>0</v>
      </c>
      <c r="S1652" s="931"/>
      <c r="T1652" s="931"/>
      <c r="U1652" s="931"/>
      <c r="V1652" s="808"/>
      <c r="W1652" s="805"/>
      <c r="X1652" s="805"/>
      <c r="Y1652" s="208" t="e">
        <f t="shared" si="28"/>
        <v>#DIV/0!</v>
      </c>
      <c r="Z1652" s="805"/>
      <c r="AA1652" s="805"/>
      <c r="AB1652" s="805"/>
      <c r="AC1652" s="451">
        <f t="shared" si="29"/>
        <v>0</v>
      </c>
      <c r="AD1652" s="452"/>
      <c r="AE1652" s="452"/>
      <c r="AF1652" s="453"/>
    </row>
    <row r="1653" spans="1:32" s="20" customFormat="1" ht="30.75" customHeight="1">
      <c r="A1653" s="957" t="s">
        <v>143</v>
      </c>
      <c r="B1653" s="757">
        <f>SUM(B1645:E1652)</f>
        <v>0</v>
      </c>
      <c r="C1653" s="758"/>
      <c r="D1653" s="758"/>
      <c r="E1653" s="759"/>
      <c r="F1653" s="931">
        <f>SUM(F1645:H1652)</f>
        <v>0</v>
      </c>
      <c r="G1653" s="931"/>
      <c r="H1653" s="931"/>
      <c r="I1653" s="931">
        <f>SUM(I1645:K1652)</f>
        <v>0</v>
      </c>
      <c r="J1653" s="931"/>
      <c r="K1653" s="931"/>
      <c r="L1653" s="921">
        <f>SUM(L1645:N1652)</f>
        <v>12445030384</v>
      </c>
      <c r="M1653" s="921"/>
      <c r="N1653" s="921"/>
      <c r="O1653" s="921">
        <f>SUM(O1645:Q1652)</f>
        <v>12445030384</v>
      </c>
      <c r="P1653" s="921"/>
      <c r="Q1653" s="921"/>
      <c r="R1653" s="931">
        <f>SUM(R1645:U1652)</f>
        <v>0</v>
      </c>
      <c r="S1653" s="931"/>
      <c r="T1653" s="931"/>
      <c r="U1653" s="931"/>
      <c r="V1653" s="808"/>
      <c r="W1653" s="805"/>
      <c r="X1653" s="805"/>
      <c r="Y1653" s="208">
        <v>0</v>
      </c>
      <c r="Z1653" s="805"/>
      <c r="AA1653" s="805"/>
      <c r="AB1653" s="805"/>
      <c r="AC1653" s="451">
        <f t="shared" si="29"/>
        <v>0</v>
      </c>
      <c r="AD1653" s="452"/>
      <c r="AE1653" s="452"/>
      <c r="AF1653" s="453"/>
    </row>
    <row r="1654" spans="1:32" s="20" customFormat="1" ht="6.75" customHeight="1">
      <c r="A1654" s="782"/>
      <c r="C1654" s="285"/>
      <c r="D1654" s="285"/>
      <c r="E1654" s="285"/>
      <c r="F1654" s="285"/>
      <c r="G1654" s="285"/>
      <c r="H1654" s="285"/>
      <c r="I1654" s="285"/>
      <c r="J1654" s="285"/>
      <c r="K1654" s="285"/>
      <c r="L1654" s="285"/>
      <c r="M1654" s="285"/>
      <c r="N1654" s="285"/>
      <c r="O1654" s="285"/>
      <c r="P1654" s="285"/>
      <c r="Q1654" s="285"/>
      <c r="R1654" s="285"/>
      <c r="S1654" s="285"/>
      <c r="T1654" s="285"/>
      <c r="U1654" s="285"/>
      <c r="V1654" s="27"/>
    </row>
    <row r="1655" spans="1:32" s="20" customFormat="1" ht="32.25" customHeight="1">
      <c r="A1655" s="782"/>
      <c r="C1655" s="354" t="s">
        <v>508</v>
      </c>
      <c r="D1655" s="354"/>
      <c r="E1655" s="354"/>
      <c r="F1655" s="354"/>
      <c r="G1655" s="354"/>
      <c r="H1655" s="354"/>
      <c r="I1655" s="354"/>
      <c r="J1655" s="354"/>
      <c r="K1655" s="354"/>
      <c r="L1655" s="354"/>
      <c r="M1655" s="354"/>
      <c r="N1655" s="354"/>
      <c r="O1655" s="354"/>
      <c r="P1655" s="354"/>
      <c r="Q1655" s="354"/>
      <c r="R1655" s="354"/>
      <c r="S1655" s="354"/>
      <c r="T1655" s="354"/>
      <c r="U1655" s="354"/>
      <c r="V1655" s="27"/>
    </row>
    <row r="1656" spans="1:32" s="20" customFormat="1" ht="14.25" customHeight="1">
      <c r="A1656" s="782"/>
      <c r="C1656" s="285"/>
      <c r="D1656" s="285"/>
      <c r="E1656" s="285"/>
      <c r="F1656" s="285"/>
      <c r="G1656" s="285"/>
      <c r="H1656" s="285"/>
      <c r="I1656" s="285"/>
      <c r="J1656" s="285"/>
      <c r="K1656" s="285"/>
      <c r="L1656" s="285"/>
      <c r="M1656" s="285"/>
      <c r="N1656" s="285"/>
      <c r="O1656" s="285"/>
      <c r="P1656" s="285"/>
      <c r="Q1656" s="285"/>
      <c r="R1656" s="285"/>
      <c r="S1656" s="285"/>
      <c r="T1656" s="285"/>
      <c r="U1656" s="285"/>
      <c r="V1656" s="27"/>
    </row>
    <row r="1657" spans="1:32" s="20" customFormat="1" ht="21.75" customHeight="1">
      <c r="A1657" s="782"/>
      <c r="C1657" s="491" t="s">
        <v>509</v>
      </c>
      <c r="D1657" s="491"/>
      <c r="E1657" s="491"/>
      <c r="F1657" s="491"/>
      <c r="G1657" s="491"/>
      <c r="H1657" s="491"/>
      <c r="I1657" s="491"/>
      <c r="J1657" s="491"/>
      <c r="K1657" s="491"/>
      <c r="L1657" s="491"/>
      <c r="M1657" s="491"/>
      <c r="N1657" s="491"/>
      <c r="O1657" s="491"/>
      <c r="P1657" s="491"/>
      <c r="Q1657" s="491"/>
      <c r="R1657" s="491"/>
      <c r="S1657" s="491"/>
      <c r="T1657" s="491"/>
      <c r="U1657" s="491"/>
      <c r="V1657" s="27"/>
    </row>
    <row r="1658" spans="1:32" s="20" customFormat="1" ht="62.25" customHeight="1">
      <c r="A1658" s="14"/>
      <c r="C1658" s="313" t="str">
        <f>"Nilai Utang Bunga  per "&amp;'[1]2.ISIAN DATA SKPD'!D8&amp;" dan "&amp;'[1]2.ISIAN DATA SKPD'!D12&amp;" adalah masing-masing sebesar Rp. "&amp;FIXED(R1670)&amp;" dan Rp. "&amp;FIXED(B1670)&amp;" mengalami kenaikan/penurunan sebesar Rp. "&amp;FIXED(AC1670)&amp;" atau sebesar "&amp;FIXED(Y1670)&amp;"% dari tahun "&amp;'[1]2.ISIAN DATA SKPD'!D12&amp;"."</f>
        <v>Nilai Utang Bunga  per 31 Desember 2017 dan 2016 adalah masing-masing sebesar Rp. 0.00 dan Rp. 0.00 mengalami kenaikan/penurunan sebesar Rp. 0.00 atau sebesar 0.00% dari tahun 2016.</v>
      </c>
      <c r="D1658" s="313"/>
      <c r="E1658" s="313"/>
      <c r="F1658" s="313"/>
      <c r="G1658" s="313"/>
      <c r="H1658" s="313"/>
      <c r="I1658" s="313"/>
      <c r="J1658" s="313"/>
      <c r="K1658" s="313"/>
      <c r="L1658" s="313"/>
      <c r="M1658" s="313"/>
      <c r="N1658" s="313"/>
      <c r="O1658" s="313"/>
      <c r="P1658" s="313"/>
      <c r="Q1658" s="313"/>
      <c r="R1658" s="313"/>
      <c r="S1658" s="313"/>
      <c r="T1658" s="313"/>
      <c r="U1658" s="313"/>
      <c r="V1658" s="27"/>
    </row>
    <row r="1659" spans="1:32" s="20" customFormat="1" ht="57.75" customHeight="1">
      <c r="A1659" s="14"/>
      <c r="C1659" s="313" t="s">
        <v>510</v>
      </c>
      <c r="D1659" s="313"/>
      <c r="E1659" s="313"/>
      <c r="F1659" s="313"/>
      <c r="G1659" s="313"/>
      <c r="H1659" s="313"/>
      <c r="I1659" s="313"/>
      <c r="J1659" s="313"/>
      <c r="K1659" s="313"/>
      <c r="L1659" s="313"/>
      <c r="M1659" s="313"/>
      <c r="N1659" s="313"/>
      <c r="O1659" s="313"/>
      <c r="P1659" s="313"/>
      <c r="Q1659" s="313"/>
      <c r="R1659" s="313"/>
      <c r="S1659" s="313"/>
      <c r="T1659" s="313"/>
      <c r="U1659" s="313"/>
      <c r="V1659" s="27"/>
    </row>
    <row r="1660" spans="1:32" s="20" customFormat="1" ht="37.5" customHeight="1">
      <c r="A1660" s="14"/>
      <c r="C1660" s="313" t="str">
        <f>"Rincian Utang Bunga pada "&amp;'[1]2.ISIAN DATA SKPD'!D2&amp;" per tanggal pelaporan disajikan sebagai berikut:"</f>
        <v>Rincian Utang Bunga pada Dinas Pekerjaan Umum dan Penataan Ruang per tanggal pelaporan disajikan sebagai berikut:</v>
      </c>
      <c r="D1660" s="313"/>
      <c r="E1660" s="313"/>
      <c r="F1660" s="313"/>
      <c r="G1660" s="313"/>
      <c r="H1660" s="313"/>
      <c r="I1660" s="313"/>
      <c r="J1660" s="313"/>
      <c r="K1660" s="313"/>
      <c r="L1660" s="313"/>
      <c r="M1660" s="313"/>
      <c r="N1660" s="313"/>
      <c r="O1660" s="313"/>
      <c r="P1660" s="313"/>
      <c r="Q1660" s="313"/>
      <c r="R1660" s="313"/>
      <c r="S1660" s="313"/>
      <c r="T1660" s="313"/>
      <c r="U1660" s="313"/>
      <c r="V1660" s="27"/>
    </row>
    <row r="1661" spans="1:32" s="20" customFormat="1" ht="12" customHeight="1">
      <c r="A1661" s="14"/>
      <c r="C1661" s="882"/>
      <c r="D1661" s="882"/>
      <c r="E1661" s="882"/>
      <c r="F1661" s="882"/>
      <c r="G1661" s="882"/>
      <c r="H1661" s="882"/>
      <c r="I1661" s="882"/>
      <c r="J1661" s="882"/>
      <c r="K1661" s="882"/>
      <c r="L1661" s="882"/>
      <c r="M1661" s="882"/>
      <c r="N1661" s="882"/>
      <c r="O1661" s="882"/>
      <c r="P1661" s="882"/>
      <c r="Q1661" s="882"/>
      <c r="R1661" s="882"/>
      <c r="S1661" s="882"/>
      <c r="T1661" s="882"/>
      <c r="U1661" s="882"/>
      <c r="V1661" s="27"/>
    </row>
    <row r="1662" spans="1:32" s="20" customFormat="1" ht="28.35" customHeight="1">
      <c r="A1662" s="726" t="s">
        <v>84</v>
      </c>
      <c r="B1662" s="573" t="s">
        <v>411</v>
      </c>
      <c r="C1662" s="457"/>
      <c r="D1662" s="457"/>
      <c r="E1662" s="458"/>
      <c r="F1662" s="786" t="s">
        <v>412</v>
      </c>
      <c r="G1662" s="786"/>
      <c r="H1662" s="786"/>
      <c r="I1662" s="786"/>
      <c r="J1662" s="786"/>
      <c r="K1662" s="786"/>
      <c r="L1662" s="786" t="s">
        <v>413</v>
      </c>
      <c r="M1662" s="786"/>
      <c r="N1662" s="786"/>
      <c r="O1662" s="786"/>
      <c r="P1662" s="786"/>
      <c r="Q1662" s="786"/>
      <c r="R1662" s="99" t="s">
        <v>414</v>
      </c>
      <c r="S1662" s="99"/>
      <c r="T1662" s="99"/>
      <c r="U1662" s="99"/>
      <c r="V1662" s="27"/>
    </row>
    <row r="1663" spans="1:32" s="20" customFormat="1" ht="28.35" customHeight="1">
      <c r="A1663" s="732"/>
      <c r="B1663" s="787">
        <f>B1644</f>
        <v>2017</v>
      </c>
      <c r="C1663" s="788"/>
      <c r="D1663" s="788"/>
      <c r="E1663" s="789"/>
      <c r="F1663" s="99" t="s">
        <v>415</v>
      </c>
      <c r="G1663" s="99"/>
      <c r="H1663" s="99"/>
      <c r="I1663" s="99" t="s">
        <v>416</v>
      </c>
      <c r="J1663" s="99"/>
      <c r="K1663" s="99"/>
      <c r="L1663" s="99" t="s">
        <v>415</v>
      </c>
      <c r="M1663" s="99"/>
      <c r="N1663" s="99"/>
      <c r="O1663" s="790" t="s">
        <v>416</v>
      </c>
      <c r="P1663" s="790"/>
      <c r="Q1663" s="790"/>
      <c r="R1663" s="787">
        <f>R1644</f>
        <v>2017</v>
      </c>
      <c r="S1663" s="788"/>
      <c r="T1663" s="788"/>
      <c r="U1663" s="789"/>
      <c r="V1663" s="804"/>
      <c r="W1663" s="805"/>
      <c r="X1663" s="805"/>
      <c r="Y1663" s="208" t="s">
        <v>417</v>
      </c>
      <c r="Z1663" s="805"/>
      <c r="AA1663" s="805"/>
      <c r="AB1663" s="805"/>
      <c r="AC1663" s="712" t="s">
        <v>404</v>
      </c>
      <c r="AD1663" s="713"/>
      <c r="AE1663" s="713"/>
      <c r="AF1663" s="806"/>
    </row>
    <row r="1664" spans="1:32" s="20" customFormat="1" ht="30" customHeight="1">
      <c r="A1664" s="955" t="str">
        <f>'[1]4.NERACA'!C170</f>
        <v>Utang Bunga kepada Pemerintah</v>
      </c>
      <c r="B1664" s="889">
        <f>'[1]4.NERACA'!D169</f>
        <v>0</v>
      </c>
      <c r="C1664" s="890"/>
      <c r="D1664" s="890"/>
      <c r="E1664" s="891"/>
      <c r="F1664" s="958">
        <f>'[1]4.NERACA'!E169</f>
        <v>0</v>
      </c>
      <c r="G1664" s="958"/>
      <c r="H1664" s="958"/>
      <c r="I1664" s="958">
        <f>'[1]4.NERACA'!F169</f>
        <v>0</v>
      </c>
      <c r="J1664" s="958"/>
      <c r="K1664" s="958"/>
      <c r="L1664" s="958">
        <f>'[1]4.NERACA'!G169</f>
        <v>0</v>
      </c>
      <c r="M1664" s="958"/>
      <c r="N1664" s="958"/>
      <c r="O1664" s="958">
        <f>'[1]4.NERACA'!H169</f>
        <v>0</v>
      </c>
      <c r="P1664" s="958"/>
      <c r="Q1664" s="958"/>
      <c r="R1664" s="757">
        <f t="shared" ref="R1664:R1669" si="30">B1664-F1664+I1664-L1664+O1664</f>
        <v>0</v>
      </c>
      <c r="S1664" s="758"/>
      <c r="T1664" s="758"/>
      <c r="U1664" s="759"/>
      <c r="V1664" s="808"/>
      <c r="W1664" s="805"/>
      <c r="X1664" s="805"/>
      <c r="Y1664" s="208" t="e">
        <f t="shared" ref="Y1664:Y1669" si="31">(R1664-B1664)/B1664*100</f>
        <v>#DIV/0!</v>
      </c>
      <c r="Z1664" s="805"/>
      <c r="AA1664" s="805"/>
      <c r="AB1664" s="805"/>
      <c r="AC1664" s="451">
        <f t="shared" ref="AC1664:AC1670" si="32">R1664-B1664</f>
        <v>0</v>
      </c>
      <c r="AD1664" s="452"/>
      <c r="AE1664" s="452"/>
      <c r="AF1664" s="453"/>
    </row>
    <row r="1665" spans="1:32" s="20" customFormat="1" ht="28.5" customHeight="1">
      <c r="A1665" s="955" t="str">
        <f>'[1]4.NERACA'!C171</f>
        <v>Utang Bunga kepada Pemerintah Daerah Lainnya</v>
      </c>
      <c r="B1665" s="889">
        <f>'[1]4.NERACA'!D170</f>
        <v>0</v>
      </c>
      <c r="C1665" s="890"/>
      <c r="D1665" s="890"/>
      <c r="E1665" s="891"/>
      <c r="F1665" s="958">
        <f>'[1]4.NERACA'!E170</f>
        <v>0</v>
      </c>
      <c r="G1665" s="958"/>
      <c r="H1665" s="958"/>
      <c r="I1665" s="958">
        <f>'[1]4.NERACA'!F170</f>
        <v>0</v>
      </c>
      <c r="J1665" s="958"/>
      <c r="K1665" s="958"/>
      <c r="L1665" s="958">
        <f>'[1]4.NERACA'!G170</f>
        <v>0</v>
      </c>
      <c r="M1665" s="958"/>
      <c r="N1665" s="958"/>
      <c r="O1665" s="958">
        <f>'[1]4.NERACA'!H170</f>
        <v>0</v>
      </c>
      <c r="P1665" s="958"/>
      <c r="Q1665" s="958"/>
      <c r="R1665" s="757">
        <f t="shared" si="30"/>
        <v>0</v>
      </c>
      <c r="S1665" s="758"/>
      <c r="T1665" s="758"/>
      <c r="U1665" s="759"/>
      <c r="V1665" s="808"/>
      <c r="W1665" s="805"/>
      <c r="X1665" s="805"/>
      <c r="Y1665" s="208" t="e">
        <f t="shared" si="31"/>
        <v>#DIV/0!</v>
      </c>
      <c r="Z1665" s="805"/>
      <c r="AA1665" s="805"/>
      <c r="AB1665" s="805"/>
      <c r="AC1665" s="451">
        <f t="shared" si="32"/>
        <v>0</v>
      </c>
      <c r="AD1665" s="452"/>
      <c r="AE1665" s="452"/>
      <c r="AF1665" s="453"/>
    </row>
    <row r="1666" spans="1:32" s="20" customFormat="1" ht="39.75" customHeight="1">
      <c r="A1666" s="955" t="str">
        <f>'[1]4.NERACA'!C172</f>
        <v>Utang Bunga Kepada BUMN/BUMD</v>
      </c>
      <c r="B1666" s="889">
        <f>'[1]4.NERACA'!D171</f>
        <v>0</v>
      </c>
      <c r="C1666" s="890"/>
      <c r="D1666" s="890"/>
      <c r="E1666" s="891"/>
      <c r="F1666" s="958">
        <f>'[1]4.NERACA'!E171</f>
        <v>0</v>
      </c>
      <c r="G1666" s="958"/>
      <c r="H1666" s="958"/>
      <c r="I1666" s="958">
        <f>'[1]4.NERACA'!F171</f>
        <v>0</v>
      </c>
      <c r="J1666" s="958"/>
      <c r="K1666" s="958"/>
      <c r="L1666" s="958">
        <f>'[1]4.NERACA'!G171</f>
        <v>0</v>
      </c>
      <c r="M1666" s="958"/>
      <c r="N1666" s="958"/>
      <c r="O1666" s="958">
        <f>'[1]4.NERACA'!H171</f>
        <v>0</v>
      </c>
      <c r="P1666" s="958"/>
      <c r="Q1666" s="958"/>
      <c r="R1666" s="931">
        <f t="shared" si="30"/>
        <v>0</v>
      </c>
      <c r="S1666" s="931"/>
      <c r="T1666" s="931"/>
      <c r="U1666" s="931"/>
      <c r="V1666" s="808"/>
      <c r="W1666" s="805"/>
      <c r="X1666" s="805"/>
      <c r="Y1666" s="208" t="e">
        <f t="shared" si="31"/>
        <v>#DIV/0!</v>
      </c>
      <c r="Z1666" s="805"/>
      <c r="AA1666" s="805"/>
      <c r="AB1666" s="805"/>
      <c r="AC1666" s="451">
        <f t="shared" si="32"/>
        <v>0</v>
      </c>
      <c r="AD1666" s="452"/>
      <c r="AE1666" s="452"/>
      <c r="AF1666" s="453"/>
    </row>
    <row r="1667" spans="1:32" s="20" customFormat="1" ht="39.75" customHeight="1">
      <c r="A1667" s="955" t="str">
        <f>'[1]4.NERACA'!C173</f>
        <v>Utang Bunga kepada Bank/Lembaga Keuangan Bukan Bank</v>
      </c>
      <c r="B1667" s="889">
        <f>'[1]4.NERACA'!D172</f>
        <v>0</v>
      </c>
      <c r="C1667" s="890"/>
      <c r="D1667" s="890"/>
      <c r="E1667" s="891"/>
      <c r="F1667" s="958">
        <f>'[1]4.NERACA'!E172</f>
        <v>0</v>
      </c>
      <c r="G1667" s="958"/>
      <c r="H1667" s="958"/>
      <c r="I1667" s="958">
        <f>'[1]4.NERACA'!F172</f>
        <v>0</v>
      </c>
      <c r="J1667" s="958"/>
      <c r="K1667" s="958"/>
      <c r="L1667" s="958">
        <f>'[1]4.NERACA'!G172</f>
        <v>0</v>
      </c>
      <c r="M1667" s="958"/>
      <c r="N1667" s="958"/>
      <c r="O1667" s="958">
        <f>'[1]4.NERACA'!H172</f>
        <v>0</v>
      </c>
      <c r="P1667" s="958"/>
      <c r="Q1667" s="958"/>
      <c r="R1667" s="931">
        <f t="shared" si="30"/>
        <v>0</v>
      </c>
      <c r="S1667" s="931"/>
      <c r="T1667" s="931"/>
      <c r="U1667" s="931"/>
      <c r="V1667" s="808"/>
      <c r="W1667" s="805"/>
      <c r="X1667" s="805"/>
      <c r="Y1667" s="208" t="e">
        <f t="shared" si="31"/>
        <v>#DIV/0!</v>
      </c>
      <c r="Z1667" s="805"/>
      <c r="AA1667" s="805"/>
      <c r="AB1667" s="805"/>
      <c r="AC1667" s="451">
        <f t="shared" si="32"/>
        <v>0</v>
      </c>
      <c r="AD1667" s="452"/>
      <c r="AE1667" s="452"/>
      <c r="AF1667" s="453"/>
    </row>
    <row r="1668" spans="1:32" s="20" customFormat="1" ht="51" customHeight="1">
      <c r="A1668" s="955" t="str">
        <f>'[1]4.NERACA'!C174</f>
        <v>Utang Bunga Dalam Negeri Lainnya</v>
      </c>
      <c r="B1668" s="889">
        <f>'[1]4.NERACA'!D173</f>
        <v>0</v>
      </c>
      <c r="C1668" s="890"/>
      <c r="D1668" s="890"/>
      <c r="E1668" s="891"/>
      <c r="F1668" s="958">
        <f>'[1]4.NERACA'!E173</f>
        <v>0</v>
      </c>
      <c r="G1668" s="958"/>
      <c r="H1668" s="958"/>
      <c r="I1668" s="958">
        <f>'[1]4.NERACA'!F173</f>
        <v>0</v>
      </c>
      <c r="J1668" s="958"/>
      <c r="K1668" s="958"/>
      <c r="L1668" s="958">
        <f>'[1]4.NERACA'!G173</f>
        <v>0</v>
      </c>
      <c r="M1668" s="958"/>
      <c r="N1668" s="958"/>
      <c r="O1668" s="958">
        <f>'[1]4.NERACA'!H173</f>
        <v>0</v>
      </c>
      <c r="P1668" s="958"/>
      <c r="Q1668" s="958"/>
      <c r="R1668" s="931">
        <f t="shared" si="30"/>
        <v>0</v>
      </c>
      <c r="S1668" s="931"/>
      <c r="T1668" s="931"/>
      <c r="U1668" s="931"/>
      <c r="V1668" s="808"/>
      <c r="W1668" s="805"/>
      <c r="X1668" s="805"/>
      <c r="Y1668" s="208" t="e">
        <f t="shared" si="31"/>
        <v>#DIV/0!</v>
      </c>
      <c r="Z1668" s="805"/>
      <c r="AA1668" s="805"/>
      <c r="AB1668" s="805"/>
      <c r="AC1668" s="451">
        <f t="shared" si="32"/>
        <v>0</v>
      </c>
      <c r="AD1668" s="452"/>
      <c r="AE1668" s="452"/>
      <c r="AF1668" s="453"/>
    </row>
    <row r="1669" spans="1:32" s="20" customFormat="1" ht="16.5" customHeight="1">
      <c r="A1669" s="955" t="str">
        <f>'[1]4.NERACA'!C175</f>
        <v>Utang Bunga Luar Negeri</v>
      </c>
      <c r="B1669" s="889">
        <f>'[1]4.NERACA'!D174</f>
        <v>0</v>
      </c>
      <c r="C1669" s="890"/>
      <c r="D1669" s="890"/>
      <c r="E1669" s="891"/>
      <c r="F1669" s="958">
        <f>'[1]4.NERACA'!E174</f>
        <v>0</v>
      </c>
      <c r="G1669" s="958"/>
      <c r="H1669" s="958"/>
      <c r="I1669" s="958">
        <f>'[1]4.NERACA'!F174</f>
        <v>0</v>
      </c>
      <c r="J1669" s="958"/>
      <c r="K1669" s="958"/>
      <c r="L1669" s="958">
        <f>'[1]4.NERACA'!G174</f>
        <v>0</v>
      </c>
      <c r="M1669" s="958"/>
      <c r="N1669" s="958"/>
      <c r="O1669" s="958">
        <f>'[1]4.NERACA'!H174</f>
        <v>0</v>
      </c>
      <c r="P1669" s="958"/>
      <c r="Q1669" s="958"/>
      <c r="R1669" s="931">
        <f t="shared" si="30"/>
        <v>0</v>
      </c>
      <c r="S1669" s="931"/>
      <c r="T1669" s="931"/>
      <c r="U1669" s="931"/>
      <c r="V1669" s="808"/>
      <c r="W1669" s="805"/>
      <c r="X1669" s="805"/>
      <c r="Y1669" s="208" t="e">
        <f t="shared" si="31"/>
        <v>#DIV/0!</v>
      </c>
      <c r="Z1669" s="805"/>
      <c r="AA1669" s="805"/>
      <c r="AB1669" s="805"/>
      <c r="AC1669" s="451">
        <f t="shared" si="32"/>
        <v>0</v>
      </c>
      <c r="AD1669" s="452"/>
      <c r="AE1669" s="452"/>
      <c r="AF1669" s="453"/>
    </row>
    <row r="1670" spans="1:32" s="20" customFormat="1" ht="13.5" customHeight="1">
      <c r="A1670" s="959" t="s">
        <v>143</v>
      </c>
      <c r="B1670" s="889">
        <f>SUM(B1664:E1669)</f>
        <v>0</v>
      </c>
      <c r="C1670" s="890"/>
      <c r="D1670" s="890"/>
      <c r="E1670" s="891"/>
      <c r="F1670" s="958">
        <f>SUM(F1664:H1669)</f>
        <v>0</v>
      </c>
      <c r="G1670" s="958"/>
      <c r="H1670" s="958"/>
      <c r="I1670" s="958">
        <f>SUM(I1664:K1669)</f>
        <v>0</v>
      </c>
      <c r="J1670" s="958"/>
      <c r="K1670" s="958"/>
      <c r="L1670" s="958">
        <f>SUM(L1664:N1669)</f>
        <v>0</v>
      </c>
      <c r="M1670" s="958"/>
      <c r="N1670" s="958"/>
      <c r="O1670" s="958">
        <f>SUM(O1664:Q1669)</f>
        <v>0</v>
      </c>
      <c r="P1670" s="958"/>
      <c r="Q1670" s="958"/>
      <c r="R1670" s="958">
        <f>SUM(R1664:U1669)</f>
        <v>0</v>
      </c>
      <c r="S1670" s="958"/>
      <c r="T1670" s="958"/>
      <c r="U1670" s="958"/>
      <c r="V1670" s="808"/>
      <c r="W1670" s="805"/>
      <c r="X1670" s="805"/>
      <c r="Y1670" s="208">
        <v>0</v>
      </c>
      <c r="Z1670" s="805"/>
      <c r="AA1670" s="805"/>
      <c r="AB1670" s="805"/>
      <c r="AC1670" s="451">
        <f t="shared" si="32"/>
        <v>0</v>
      </c>
      <c r="AD1670" s="452"/>
      <c r="AE1670" s="452"/>
      <c r="AF1670" s="453"/>
    </row>
    <row r="1671" spans="1:32" s="20" customFormat="1" ht="13.5" customHeight="1">
      <c r="A1671" s="960"/>
      <c r="B1671" s="784"/>
      <c r="C1671" s="784"/>
      <c r="D1671" s="784"/>
      <c r="E1671" s="784"/>
      <c r="F1671" s="793"/>
      <c r="G1671" s="793"/>
      <c r="H1671" s="793"/>
      <c r="I1671" s="793"/>
      <c r="J1671" s="793"/>
      <c r="K1671" s="793"/>
      <c r="L1671" s="793"/>
      <c r="M1671" s="793"/>
      <c r="N1671" s="793"/>
      <c r="O1671" s="793"/>
      <c r="P1671" s="793"/>
      <c r="Q1671" s="793"/>
      <c r="R1671" s="784"/>
      <c r="S1671" s="784"/>
      <c r="T1671" s="784"/>
      <c r="U1671" s="784"/>
      <c r="V1671" s="27"/>
    </row>
    <row r="1672" spans="1:32" s="20" customFormat="1" ht="27" customHeight="1">
      <c r="A1672" s="960"/>
      <c r="B1672" s="961"/>
      <c r="C1672" s="491" t="s">
        <v>511</v>
      </c>
      <c r="D1672" s="491"/>
      <c r="E1672" s="491"/>
      <c r="F1672" s="491"/>
      <c r="G1672" s="491"/>
      <c r="H1672" s="491"/>
      <c r="I1672" s="491"/>
      <c r="J1672" s="491"/>
      <c r="K1672" s="491"/>
      <c r="L1672" s="491"/>
      <c r="M1672" s="491"/>
      <c r="N1672" s="491"/>
      <c r="O1672" s="491"/>
      <c r="P1672" s="491"/>
      <c r="Q1672" s="491"/>
      <c r="R1672" s="491"/>
      <c r="S1672" s="491"/>
      <c r="T1672" s="491"/>
      <c r="U1672" s="491"/>
      <c r="V1672" s="27"/>
    </row>
    <row r="1673" spans="1:32" s="20" customFormat="1" ht="63.75" customHeight="1">
      <c r="A1673" s="14"/>
      <c r="C1673" s="313" t="str">
        <f>"Nilai Bagian Lancar Utang Jangka Panjang  per "&amp;'[1]2.ISIAN DATA SKPD'!D16&amp;" dan "&amp;'[1]2.ISIAN DATA SKPD'!D25&amp;" adalah masing-masing sebesar Rp. "&amp;FIXED(R1683)&amp;" dan Rp. "&amp;FIXED(B1683)&amp;" mengalami kenaikan/penurunan sebesar Rp. "&amp;FIXED('[1]4.NERACA'!K176)&amp;" atau sebesar "&amp;FIXED('[1]4.NERACA'!J176)&amp;"% dari tahun "&amp;'[1]2.ISIAN DATA SKPD'!D12&amp;"."</f>
        <v>Nilai Bagian Lancar Utang Jangka Panjang  per  dan  adalah masing-masing sebesar Rp. 0.00 dan Rp. 0.00 mengalami kenaikan/penurunan sebesar Rp. 0.00 atau sebesar 0.00% dari tahun 2016.</v>
      </c>
      <c r="D1673" s="313"/>
      <c r="E1673" s="313"/>
      <c r="F1673" s="313"/>
      <c r="G1673" s="313"/>
      <c r="H1673" s="313"/>
      <c r="I1673" s="313"/>
      <c r="J1673" s="313"/>
      <c r="K1673" s="313"/>
      <c r="L1673" s="313"/>
      <c r="M1673" s="313"/>
      <c r="N1673" s="313"/>
      <c r="O1673" s="313"/>
      <c r="P1673" s="313"/>
      <c r="Q1673" s="313"/>
      <c r="R1673" s="313"/>
      <c r="S1673" s="313"/>
      <c r="T1673" s="313"/>
      <c r="U1673" s="313"/>
      <c r="V1673" s="27"/>
    </row>
    <row r="1674" spans="1:32" s="20" customFormat="1" ht="56.85" customHeight="1">
      <c r="A1674" s="14"/>
      <c r="C1674" s="313" t="str">
        <f>"Rincian Bagian Lancar Utang Jangka Panjang  pada "&amp;'[1]2.ISIAN DATA SKPD'!D2&amp;" per tanggal pelaporan disajikan sebagai berikut:"</f>
        <v>Rincian Bagian Lancar Utang Jangka Panjang  pada Dinas Pekerjaan Umum dan Penataan Ruang per tanggal pelaporan disajikan sebagai berikut:</v>
      </c>
      <c r="D1674" s="313"/>
      <c r="E1674" s="313"/>
      <c r="F1674" s="313"/>
      <c r="G1674" s="313"/>
      <c r="H1674" s="313"/>
      <c r="I1674" s="313"/>
      <c r="J1674" s="313"/>
      <c r="K1674" s="313"/>
      <c r="L1674" s="313"/>
      <c r="M1674" s="313"/>
      <c r="N1674" s="313"/>
      <c r="O1674" s="313"/>
      <c r="P1674" s="313"/>
      <c r="Q1674" s="313"/>
      <c r="R1674" s="313"/>
      <c r="S1674" s="313"/>
      <c r="T1674" s="313"/>
      <c r="U1674" s="313"/>
      <c r="V1674" s="27"/>
    </row>
    <row r="1675" spans="1:32" s="20" customFormat="1" ht="12" customHeight="1">
      <c r="A1675" s="14"/>
      <c r="C1675" s="285"/>
      <c r="D1675" s="285"/>
      <c r="E1675" s="285"/>
      <c r="F1675" s="285"/>
      <c r="G1675" s="285"/>
      <c r="H1675" s="285"/>
      <c r="I1675" s="285"/>
      <c r="J1675" s="285"/>
      <c r="K1675" s="285"/>
      <c r="L1675" s="285"/>
      <c r="M1675" s="285"/>
      <c r="N1675" s="285"/>
      <c r="O1675" s="285"/>
      <c r="P1675" s="285"/>
      <c r="Q1675" s="285"/>
      <c r="R1675" s="285"/>
      <c r="S1675" s="285"/>
      <c r="T1675" s="285"/>
      <c r="U1675" s="285"/>
      <c r="V1675" s="27"/>
    </row>
    <row r="1676" spans="1:32" s="20" customFormat="1" ht="28.35" customHeight="1">
      <c r="A1676" s="726" t="s">
        <v>84</v>
      </c>
      <c r="B1676" s="727" t="s">
        <v>411</v>
      </c>
      <c r="C1676" s="728"/>
      <c r="D1676" s="728"/>
      <c r="E1676" s="729"/>
      <c r="F1676" s="730" t="s">
        <v>412</v>
      </c>
      <c r="G1676" s="730"/>
      <c r="H1676" s="730"/>
      <c r="I1676" s="730"/>
      <c r="J1676" s="730"/>
      <c r="K1676" s="730"/>
      <c r="L1676" s="730" t="s">
        <v>413</v>
      </c>
      <c r="M1676" s="730"/>
      <c r="N1676" s="730"/>
      <c r="O1676" s="730"/>
      <c r="P1676" s="730"/>
      <c r="Q1676" s="730"/>
      <c r="R1676" s="731" t="s">
        <v>414</v>
      </c>
      <c r="S1676" s="731"/>
      <c r="T1676" s="731"/>
      <c r="U1676" s="731"/>
      <c r="V1676" s="27"/>
    </row>
    <row r="1677" spans="1:32" s="20" customFormat="1" ht="28.35" customHeight="1">
      <c r="A1677" s="732"/>
      <c r="B1677" s="787">
        <f>B1663</f>
        <v>2017</v>
      </c>
      <c r="C1677" s="788"/>
      <c r="D1677" s="788"/>
      <c r="E1677" s="789"/>
      <c r="F1677" s="731" t="s">
        <v>415</v>
      </c>
      <c r="G1677" s="731"/>
      <c r="H1677" s="731"/>
      <c r="I1677" s="731" t="s">
        <v>416</v>
      </c>
      <c r="J1677" s="731"/>
      <c r="K1677" s="731"/>
      <c r="L1677" s="731" t="s">
        <v>415</v>
      </c>
      <c r="M1677" s="731"/>
      <c r="N1677" s="731"/>
      <c r="O1677" s="736" t="s">
        <v>416</v>
      </c>
      <c r="P1677" s="736"/>
      <c r="Q1677" s="736"/>
      <c r="R1677" s="787">
        <f>R1663</f>
        <v>2017</v>
      </c>
      <c r="S1677" s="788"/>
      <c r="T1677" s="788"/>
      <c r="U1677" s="789"/>
      <c r="V1677" s="804"/>
      <c r="W1677" s="805"/>
      <c r="X1677" s="805"/>
      <c r="Y1677" s="208" t="s">
        <v>417</v>
      </c>
      <c r="Z1677" s="805"/>
      <c r="AA1677" s="805"/>
      <c r="AB1677" s="805"/>
      <c r="AC1677" s="712" t="s">
        <v>404</v>
      </c>
      <c r="AD1677" s="713"/>
      <c r="AE1677" s="713"/>
      <c r="AF1677" s="806"/>
    </row>
    <row r="1678" spans="1:32" s="20" customFormat="1" ht="53.25" customHeight="1">
      <c r="A1678" s="955" t="str">
        <f>'[1]4.NERACA'!C177</f>
        <v>Bagian Lancar Utang Dalam Negeri Sektor Perbankan</v>
      </c>
      <c r="B1678" s="757">
        <f>'[1]4.NERACA'!D176</f>
        <v>0</v>
      </c>
      <c r="C1678" s="758"/>
      <c r="D1678" s="758"/>
      <c r="E1678" s="759"/>
      <c r="F1678" s="931">
        <f>'[1]4.NERACA'!E176</f>
        <v>0</v>
      </c>
      <c r="G1678" s="931"/>
      <c r="H1678" s="931"/>
      <c r="I1678" s="931">
        <f>'[1]4.NERACA'!F176</f>
        <v>0</v>
      </c>
      <c r="J1678" s="931"/>
      <c r="K1678" s="931"/>
      <c r="L1678" s="931">
        <f>'[1]4.NERACA'!G176</f>
        <v>0</v>
      </c>
      <c r="M1678" s="931"/>
      <c r="N1678" s="931"/>
      <c r="O1678" s="931">
        <f>'[1]4.NERACA'!H176</f>
        <v>0</v>
      </c>
      <c r="P1678" s="931"/>
      <c r="Q1678" s="931"/>
      <c r="R1678" s="931">
        <f>B1678-F1678+I1678-L1678+O1678</f>
        <v>0</v>
      </c>
      <c r="S1678" s="931"/>
      <c r="T1678" s="931"/>
      <c r="U1678" s="931"/>
      <c r="V1678" s="808"/>
      <c r="W1678" s="805"/>
      <c r="X1678" s="805"/>
      <c r="Y1678" s="208" t="e">
        <f t="shared" ref="Y1678:Y1683" si="33">(R1678-B1678)/B1678*100</f>
        <v>#DIV/0!</v>
      </c>
      <c r="Z1678" s="805"/>
      <c r="AA1678" s="805"/>
      <c r="AB1678" s="805"/>
      <c r="AC1678" s="451">
        <f t="shared" ref="AC1678:AC1683" si="34">R1678-B1678</f>
        <v>0</v>
      </c>
      <c r="AD1678" s="452"/>
      <c r="AE1678" s="452"/>
      <c r="AF1678" s="453"/>
    </row>
    <row r="1679" spans="1:32" s="20" customFormat="1" ht="53.25" customHeight="1">
      <c r="A1679" s="955" t="str">
        <f>'[1]4.NERACA'!C178</f>
        <v>Bagian Lancar Utang dari Lembaga Keuangan Bukan Bank</v>
      </c>
      <c r="B1679" s="757">
        <f>'[1]4.NERACA'!D177</f>
        <v>0</v>
      </c>
      <c r="C1679" s="758"/>
      <c r="D1679" s="758"/>
      <c r="E1679" s="759"/>
      <c r="F1679" s="931">
        <f>'[1]4.NERACA'!E177</f>
        <v>0</v>
      </c>
      <c r="G1679" s="931"/>
      <c r="H1679" s="931"/>
      <c r="I1679" s="931">
        <f>'[1]4.NERACA'!F177</f>
        <v>0</v>
      </c>
      <c r="J1679" s="931"/>
      <c r="K1679" s="931"/>
      <c r="L1679" s="931">
        <f>'[1]4.NERACA'!G177</f>
        <v>0</v>
      </c>
      <c r="M1679" s="931"/>
      <c r="N1679" s="931"/>
      <c r="O1679" s="931">
        <f>'[1]4.NERACA'!H177</f>
        <v>0</v>
      </c>
      <c r="P1679" s="931"/>
      <c r="Q1679" s="931"/>
      <c r="R1679" s="931">
        <f>B1679-F1679+I1679-L1679+O1679</f>
        <v>0</v>
      </c>
      <c r="S1679" s="931"/>
      <c r="T1679" s="931"/>
      <c r="U1679" s="931"/>
      <c r="V1679" s="808"/>
      <c r="W1679" s="805"/>
      <c r="X1679" s="805"/>
      <c r="Y1679" s="208" t="e">
        <f t="shared" si="33"/>
        <v>#DIV/0!</v>
      </c>
      <c r="Z1679" s="805"/>
      <c r="AA1679" s="805"/>
      <c r="AB1679" s="805"/>
      <c r="AC1679" s="451">
        <f t="shared" si="34"/>
        <v>0</v>
      </c>
      <c r="AD1679" s="452"/>
      <c r="AE1679" s="452"/>
      <c r="AF1679" s="453"/>
    </row>
    <row r="1680" spans="1:32" s="20" customFormat="1" ht="53.25" customHeight="1">
      <c r="A1680" s="955" t="str">
        <f>'[1]4.NERACA'!C179</f>
        <v>Bagian Lancar Utang Pemerintah Pusat</v>
      </c>
      <c r="B1680" s="757">
        <f>'[1]4.NERACA'!D178</f>
        <v>0</v>
      </c>
      <c r="C1680" s="758"/>
      <c r="D1680" s="758"/>
      <c r="E1680" s="759"/>
      <c r="F1680" s="931">
        <f>'[1]4.NERACA'!E178</f>
        <v>0</v>
      </c>
      <c r="G1680" s="931"/>
      <c r="H1680" s="931"/>
      <c r="I1680" s="931">
        <f>'[1]4.NERACA'!F178</f>
        <v>0</v>
      </c>
      <c r="J1680" s="931"/>
      <c r="K1680" s="931"/>
      <c r="L1680" s="931">
        <f>'[1]4.NERACA'!G178</f>
        <v>0</v>
      </c>
      <c r="M1680" s="931"/>
      <c r="N1680" s="931"/>
      <c r="O1680" s="931">
        <f>'[1]4.NERACA'!H178</f>
        <v>0</v>
      </c>
      <c r="P1680" s="931"/>
      <c r="Q1680" s="931"/>
      <c r="R1680" s="931">
        <f>B1680-F1680+I1680-L1680+O1680</f>
        <v>0</v>
      </c>
      <c r="S1680" s="931"/>
      <c r="T1680" s="931"/>
      <c r="U1680" s="931"/>
      <c r="V1680" s="808"/>
      <c r="W1680" s="805"/>
      <c r="X1680" s="805"/>
      <c r="Y1680" s="208" t="e">
        <f t="shared" si="33"/>
        <v>#DIV/0!</v>
      </c>
      <c r="Z1680" s="805"/>
      <c r="AA1680" s="805"/>
      <c r="AB1680" s="805"/>
      <c r="AC1680" s="451">
        <f t="shared" si="34"/>
        <v>0</v>
      </c>
      <c r="AD1680" s="452"/>
      <c r="AE1680" s="452"/>
      <c r="AF1680" s="453"/>
    </row>
    <row r="1681" spans="1:32" s="20" customFormat="1" ht="53.25" customHeight="1">
      <c r="A1681" s="955" t="str">
        <f>'[1]4.NERACA'!C180</f>
        <v>Bagian Lancar Utang Pemerintah Provinsi Lainnya</v>
      </c>
      <c r="B1681" s="757">
        <f>'[1]4.NERACA'!D179</f>
        <v>0</v>
      </c>
      <c r="C1681" s="758"/>
      <c r="D1681" s="758"/>
      <c r="E1681" s="759"/>
      <c r="F1681" s="931">
        <f>'[1]4.NERACA'!E179</f>
        <v>0</v>
      </c>
      <c r="G1681" s="931"/>
      <c r="H1681" s="931"/>
      <c r="I1681" s="931">
        <f>'[1]4.NERACA'!F179</f>
        <v>0</v>
      </c>
      <c r="J1681" s="931"/>
      <c r="K1681" s="931"/>
      <c r="L1681" s="931">
        <f>'[1]4.NERACA'!G179</f>
        <v>0</v>
      </c>
      <c r="M1681" s="931"/>
      <c r="N1681" s="931"/>
      <c r="O1681" s="931">
        <f>'[1]4.NERACA'!H179</f>
        <v>0</v>
      </c>
      <c r="P1681" s="931"/>
      <c r="Q1681" s="931"/>
      <c r="R1681" s="931">
        <f>B1681-F1681+I1681-L1681+O1681</f>
        <v>0</v>
      </c>
      <c r="S1681" s="931"/>
      <c r="T1681" s="931"/>
      <c r="U1681" s="931"/>
      <c r="V1681" s="808"/>
      <c r="W1681" s="805"/>
      <c r="X1681" s="805"/>
      <c r="Y1681" s="208" t="e">
        <f t="shared" si="33"/>
        <v>#DIV/0!</v>
      </c>
      <c r="Z1681" s="805"/>
      <c r="AA1681" s="805"/>
      <c r="AB1681" s="805"/>
      <c r="AC1681" s="451">
        <f t="shared" si="34"/>
        <v>0</v>
      </c>
      <c r="AD1681" s="452"/>
      <c r="AE1681" s="452"/>
      <c r="AF1681" s="453"/>
    </row>
    <row r="1682" spans="1:32" s="20" customFormat="1" ht="58.5" customHeight="1">
      <c r="A1682" s="955" t="str">
        <f>'[1]4.NERACA'!C181</f>
        <v>Bagian Lancar Utang Pemerintah Kabupaten/Kota</v>
      </c>
      <c r="B1682" s="757">
        <f>'[1]4.NERACA'!D180</f>
        <v>0</v>
      </c>
      <c r="C1682" s="758"/>
      <c r="D1682" s="758"/>
      <c r="E1682" s="759"/>
      <c r="F1682" s="931">
        <f>'[1]4.NERACA'!E180</f>
        <v>0</v>
      </c>
      <c r="G1682" s="931"/>
      <c r="H1682" s="931"/>
      <c r="I1682" s="931">
        <f>'[1]4.NERACA'!F180</f>
        <v>0</v>
      </c>
      <c r="J1682" s="931"/>
      <c r="K1682" s="931"/>
      <c r="L1682" s="931">
        <f>'[1]4.NERACA'!G180</f>
        <v>0</v>
      </c>
      <c r="M1682" s="931"/>
      <c r="N1682" s="931"/>
      <c r="O1682" s="931">
        <f>'[1]4.NERACA'!H180</f>
        <v>0</v>
      </c>
      <c r="P1682" s="931"/>
      <c r="Q1682" s="931"/>
      <c r="R1682" s="931">
        <f>B1682-F1682+I1682-L1682+O1682</f>
        <v>0</v>
      </c>
      <c r="S1682" s="931"/>
      <c r="T1682" s="931"/>
      <c r="U1682" s="931"/>
      <c r="V1682" s="808"/>
      <c r="W1682" s="805"/>
      <c r="X1682" s="805"/>
      <c r="Y1682" s="208" t="e">
        <f t="shared" si="33"/>
        <v>#DIV/0!</v>
      </c>
      <c r="Z1682" s="805"/>
      <c r="AA1682" s="805"/>
      <c r="AB1682" s="805"/>
      <c r="AC1682" s="451">
        <f t="shared" si="34"/>
        <v>0</v>
      </c>
      <c r="AD1682" s="452"/>
      <c r="AE1682" s="452"/>
      <c r="AF1682" s="453"/>
    </row>
    <row r="1683" spans="1:32" s="20" customFormat="1" ht="30.75" customHeight="1">
      <c r="A1683" s="962" t="s">
        <v>143</v>
      </c>
      <c r="B1683" s="757">
        <f>SUM(B1678:E1682)</f>
        <v>0</v>
      </c>
      <c r="C1683" s="758"/>
      <c r="D1683" s="758"/>
      <c r="E1683" s="759"/>
      <c r="F1683" s="931">
        <f>SUM(F1678:H1682)</f>
        <v>0</v>
      </c>
      <c r="G1683" s="931"/>
      <c r="H1683" s="931"/>
      <c r="I1683" s="931">
        <f>SUM(I1678:K1682)</f>
        <v>0</v>
      </c>
      <c r="J1683" s="931"/>
      <c r="K1683" s="931"/>
      <c r="L1683" s="931">
        <f>SUM(L1678:N1682)</f>
        <v>0</v>
      </c>
      <c r="M1683" s="931"/>
      <c r="N1683" s="931"/>
      <c r="O1683" s="931">
        <f>SUM(O1678:Q1682)</f>
        <v>0</v>
      </c>
      <c r="P1683" s="931"/>
      <c r="Q1683" s="931"/>
      <c r="R1683" s="931">
        <f>SUM(R1678:U1682)</f>
        <v>0</v>
      </c>
      <c r="S1683" s="931"/>
      <c r="T1683" s="931"/>
      <c r="U1683" s="931"/>
      <c r="V1683" s="963"/>
      <c r="W1683" s="964"/>
      <c r="X1683" s="964"/>
      <c r="Y1683" s="965" t="e">
        <f t="shared" si="33"/>
        <v>#DIV/0!</v>
      </c>
      <c r="Z1683" s="964"/>
      <c r="AA1683" s="964"/>
      <c r="AB1683" s="964"/>
      <c r="AC1683" s="451">
        <f t="shared" si="34"/>
        <v>0</v>
      </c>
      <c r="AD1683" s="452"/>
      <c r="AE1683" s="452"/>
      <c r="AF1683" s="453"/>
    </row>
    <row r="1684" spans="1:32" s="20" customFormat="1" ht="29.25" customHeight="1">
      <c r="A1684" s="960"/>
      <c r="B1684" s="784"/>
      <c r="C1684" s="784"/>
      <c r="D1684" s="784"/>
      <c r="E1684" s="784"/>
      <c r="F1684" s="793"/>
      <c r="G1684" s="793"/>
      <c r="H1684" s="793"/>
      <c r="I1684" s="793"/>
      <c r="J1684" s="793"/>
      <c r="K1684" s="793"/>
      <c r="L1684" s="793"/>
      <c r="M1684" s="793"/>
      <c r="N1684" s="793"/>
      <c r="O1684" s="793"/>
      <c r="P1684" s="793"/>
      <c r="Q1684" s="793"/>
      <c r="R1684" s="784"/>
      <c r="S1684" s="784"/>
      <c r="T1684" s="784"/>
      <c r="U1684" s="784"/>
      <c r="V1684" s="768"/>
      <c r="W1684" s="169"/>
      <c r="X1684" s="169"/>
      <c r="Y1684" s="465"/>
      <c r="Z1684" s="169"/>
      <c r="AA1684" s="169"/>
      <c r="AB1684" s="169"/>
      <c r="AC1684" s="465"/>
      <c r="AD1684" s="465"/>
      <c r="AE1684" s="465"/>
      <c r="AF1684" s="465"/>
    </row>
    <row r="1685" spans="1:32" s="20" customFormat="1" ht="27.75" customHeight="1">
      <c r="A1685" s="14"/>
      <c r="B1685" s="12"/>
      <c r="C1685" s="491" t="s">
        <v>512</v>
      </c>
      <c r="D1685" s="491"/>
      <c r="E1685" s="491"/>
      <c r="F1685" s="491"/>
      <c r="G1685" s="491"/>
      <c r="H1685" s="491"/>
      <c r="I1685" s="491"/>
      <c r="J1685" s="491"/>
      <c r="K1685" s="491"/>
      <c r="L1685" s="491"/>
      <c r="M1685" s="491"/>
      <c r="N1685" s="491"/>
      <c r="O1685" s="491"/>
      <c r="P1685" s="491"/>
      <c r="Q1685" s="491"/>
      <c r="R1685" s="491"/>
      <c r="S1685" s="491"/>
      <c r="T1685" s="491"/>
      <c r="U1685" s="491"/>
      <c r="V1685" s="27"/>
    </row>
    <row r="1686" spans="1:32" s="20" customFormat="1" ht="66" customHeight="1">
      <c r="A1686" s="14"/>
      <c r="C1686" s="313" t="str">
        <f>"Nilai Pendapatan Diterima di Muka per "&amp;'[1]2.ISIAN DATA SKPD'!D8&amp;" dan "&amp;'[1]2.ISIAN DATA SKPD'!D12&amp;" adalah masing-masing sebesar Rp. "&amp;FIXED(R1695)&amp;" dan Rp. "&amp;FIXED(B1695)&amp;" mengalami kenaikan/penurunan sebesar Rp. "&amp;FIXED(AC1695)&amp;" atau sebesar "&amp;FIXED(Y1695)&amp;"% dari tahun "&amp;'[1]2.ISIAN DATA SKPD'!D12&amp;"."</f>
        <v>Nilai Pendapatan Diterima di Muka per 31 Desember 2017 dan 2016 adalah masing-masing sebesar Rp. 24,900,000.00 dan Rp. 24,900,000.00 mengalami kenaikan/penurunan sebesar Rp. 0.00 atau sebesar 0.00% dari tahun 2016.</v>
      </c>
      <c r="D1686" s="313"/>
      <c r="E1686" s="313"/>
      <c r="F1686" s="313"/>
      <c r="G1686" s="313"/>
      <c r="H1686" s="313"/>
      <c r="I1686" s="313"/>
      <c r="J1686" s="313"/>
      <c r="K1686" s="313"/>
      <c r="L1686" s="313"/>
      <c r="M1686" s="313"/>
      <c r="N1686" s="313"/>
      <c r="O1686" s="313"/>
      <c r="P1686" s="313"/>
      <c r="Q1686" s="313"/>
      <c r="R1686" s="313"/>
      <c r="S1686" s="313"/>
      <c r="T1686" s="313"/>
      <c r="U1686" s="313"/>
      <c r="V1686" s="27"/>
    </row>
    <row r="1687" spans="1:32" s="20" customFormat="1" ht="53.25" customHeight="1">
      <c r="A1687" s="14"/>
      <c r="C1687" s="313" t="s">
        <v>513</v>
      </c>
      <c r="D1687" s="313"/>
      <c r="E1687" s="313"/>
      <c r="F1687" s="313"/>
      <c r="G1687" s="313"/>
      <c r="H1687" s="313"/>
      <c r="I1687" s="313"/>
      <c r="J1687" s="313"/>
      <c r="K1687" s="313"/>
      <c r="L1687" s="313"/>
      <c r="M1687" s="313"/>
      <c r="N1687" s="313"/>
      <c r="O1687" s="313"/>
      <c r="P1687" s="313"/>
      <c r="Q1687" s="313"/>
      <c r="R1687" s="313"/>
      <c r="S1687" s="313"/>
      <c r="T1687" s="313"/>
      <c r="U1687" s="313"/>
      <c r="V1687" s="27"/>
    </row>
    <row r="1688" spans="1:32" s="20" customFormat="1" ht="21" customHeight="1">
      <c r="A1688" s="14"/>
      <c r="C1688" s="285"/>
      <c r="D1688" s="285"/>
      <c r="E1688" s="285"/>
      <c r="F1688" s="285"/>
      <c r="G1688" s="285"/>
      <c r="H1688" s="285"/>
      <c r="I1688" s="285"/>
      <c r="J1688" s="285"/>
      <c r="K1688" s="285"/>
      <c r="L1688" s="285"/>
      <c r="M1688" s="285"/>
      <c r="N1688" s="285"/>
      <c r="O1688" s="285"/>
      <c r="P1688" s="285"/>
      <c r="Q1688" s="285"/>
      <c r="R1688" s="285"/>
      <c r="S1688" s="285"/>
      <c r="T1688" s="285"/>
      <c r="U1688" s="285"/>
      <c r="V1688" s="27"/>
    </row>
    <row r="1689" spans="1:32" s="20" customFormat="1" ht="28.35" customHeight="1">
      <c r="A1689" s="966" t="s">
        <v>84</v>
      </c>
      <c r="B1689" s="573" t="s">
        <v>411</v>
      </c>
      <c r="C1689" s="457"/>
      <c r="D1689" s="457"/>
      <c r="E1689" s="458"/>
      <c r="F1689" s="786" t="s">
        <v>412</v>
      </c>
      <c r="G1689" s="786"/>
      <c r="H1689" s="786"/>
      <c r="I1689" s="786"/>
      <c r="J1689" s="786"/>
      <c r="K1689" s="786"/>
      <c r="L1689" s="786" t="s">
        <v>413</v>
      </c>
      <c r="M1689" s="786"/>
      <c r="N1689" s="786"/>
      <c r="O1689" s="786"/>
      <c r="P1689" s="786"/>
      <c r="Q1689" s="786"/>
      <c r="R1689" s="99" t="s">
        <v>414</v>
      </c>
      <c r="S1689" s="99"/>
      <c r="T1689" s="99"/>
      <c r="U1689" s="99"/>
      <c r="V1689" s="27"/>
    </row>
    <row r="1690" spans="1:32" s="20" customFormat="1" ht="28.35" customHeight="1">
      <c r="A1690" s="732"/>
      <c r="B1690" s="787">
        <f>B1373</f>
        <v>2017</v>
      </c>
      <c r="C1690" s="788"/>
      <c r="D1690" s="788"/>
      <c r="E1690" s="789"/>
      <c r="F1690" s="967" t="s">
        <v>415</v>
      </c>
      <c r="G1690" s="967"/>
      <c r="H1690" s="967"/>
      <c r="I1690" s="967" t="s">
        <v>416</v>
      </c>
      <c r="J1690" s="967"/>
      <c r="K1690" s="967"/>
      <c r="L1690" s="967" t="s">
        <v>415</v>
      </c>
      <c r="M1690" s="967"/>
      <c r="N1690" s="967"/>
      <c r="O1690" s="968" t="s">
        <v>416</v>
      </c>
      <c r="P1690" s="968"/>
      <c r="Q1690" s="968"/>
      <c r="R1690" s="969">
        <f>R1373</f>
        <v>2017</v>
      </c>
      <c r="S1690" s="970"/>
      <c r="T1690" s="970"/>
      <c r="U1690" s="971"/>
      <c r="V1690" s="804"/>
      <c r="W1690" s="805"/>
      <c r="X1690" s="805"/>
      <c r="Y1690" s="208" t="s">
        <v>417</v>
      </c>
      <c r="Z1690" s="805"/>
      <c r="AA1690" s="805"/>
      <c r="AB1690" s="805"/>
      <c r="AC1690" s="712" t="s">
        <v>404</v>
      </c>
      <c r="AD1690" s="713"/>
      <c r="AE1690" s="713"/>
      <c r="AF1690" s="806"/>
    </row>
    <row r="1691" spans="1:32" s="20" customFormat="1" ht="30" customHeight="1">
      <c r="A1691" s="955" t="str">
        <f>'[1]4.NERACA'!C183</f>
        <v>Setoran Kelebihan Pembayaran Dari Pihak III</v>
      </c>
      <c r="B1691" s="757">
        <f>'[1]4.NERACA'!D182</f>
        <v>24900000</v>
      </c>
      <c r="C1691" s="758"/>
      <c r="D1691" s="758"/>
      <c r="E1691" s="759"/>
      <c r="F1691" s="931">
        <f>'[1]4.NERACA'!E182</f>
        <v>0</v>
      </c>
      <c r="G1691" s="931"/>
      <c r="H1691" s="931"/>
      <c r="I1691" s="931">
        <f>'[1]4.NERACA'!F182</f>
        <v>0</v>
      </c>
      <c r="J1691" s="931"/>
      <c r="K1691" s="931"/>
      <c r="L1691" s="931">
        <f>'[1]4.NERACA'!G182</f>
        <v>0</v>
      </c>
      <c r="M1691" s="931"/>
      <c r="N1691" s="931"/>
      <c r="O1691" s="931">
        <f>'[1]4.NERACA'!H182</f>
        <v>0</v>
      </c>
      <c r="P1691" s="931"/>
      <c r="Q1691" s="931"/>
      <c r="R1691" s="931">
        <f>B1691-F1691+I1691-L1691+O1691</f>
        <v>24900000</v>
      </c>
      <c r="S1691" s="931"/>
      <c r="T1691" s="931"/>
      <c r="U1691" s="931"/>
      <c r="V1691" s="808"/>
      <c r="W1691" s="805"/>
      <c r="X1691" s="805"/>
      <c r="Y1691" s="208">
        <f>(R1691-B1691)/B1691*100</f>
        <v>0</v>
      </c>
      <c r="Z1691" s="805"/>
      <c r="AA1691" s="805"/>
      <c r="AB1691" s="805"/>
      <c r="AC1691" s="451">
        <f>R1691-B1691</f>
        <v>0</v>
      </c>
      <c r="AD1691" s="452"/>
      <c r="AE1691" s="452"/>
      <c r="AF1691" s="453"/>
    </row>
    <row r="1692" spans="1:32" s="20" customFormat="1" ht="59.25" customHeight="1">
      <c r="A1692" s="955" t="str">
        <f>'[1]4.NERACA'!C184</f>
        <v>Uang Muka Penjualan Produk Pemda Dari Pihak III</v>
      </c>
      <c r="B1692" s="757">
        <f>'[1]4.NERACA'!D183</f>
        <v>0</v>
      </c>
      <c r="C1692" s="758"/>
      <c r="D1692" s="758"/>
      <c r="E1692" s="759"/>
      <c r="F1692" s="931">
        <f>'[1]4.NERACA'!E183</f>
        <v>0</v>
      </c>
      <c r="G1692" s="931"/>
      <c r="H1692" s="931"/>
      <c r="I1692" s="931">
        <f>'[1]4.NERACA'!F183</f>
        <v>0</v>
      </c>
      <c r="J1692" s="931"/>
      <c r="K1692" s="931"/>
      <c r="L1692" s="931">
        <f>'[1]4.NERACA'!G183</f>
        <v>0</v>
      </c>
      <c r="M1692" s="931"/>
      <c r="N1692" s="931"/>
      <c r="O1692" s="931">
        <f>'[1]4.NERACA'!H183</f>
        <v>0</v>
      </c>
      <c r="P1692" s="931"/>
      <c r="Q1692" s="931"/>
      <c r="R1692" s="931">
        <f>B1692-F1692+I1692-L1692+O1692</f>
        <v>0</v>
      </c>
      <c r="S1692" s="931"/>
      <c r="T1692" s="931"/>
      <c r="U1692" s="931"/>
      <c r="V1692" s="808"/>
      <c r="W1692" s="805"/>
      <c r="X1692" s="805"/>
      <c r="Y1692" s="208" t="e">
        <f>(R1692-B1692)/B1692*100</f>
        <v>#DIV/0!</v>
      </c>
      <c r="Z1692" s="805"/>
      <c r="AA1692" s="805"/>
      <c r="AB1692" s="805"/>
      <c r="AC1692" s="451">
        <f>R1692-B1692</f>
        <v>0</v>
      </c>
      <c r="AD1692" s="452"/>
      <c r="AE1692" s="452"/>
      <c r="AF1692" s="453"/>
    </row>
    <row r="1693" spans="1:32" s="20" customFormat="1" ht="25.5" customHeight="1">
      <c r="A1693" s="955" t="str">
        <f>'[1]4.NERACA'!C185</f>
        <v>Uang Muka Lelang Penjualan Aset Daerah</v>
      </c>
      <c r="B1693" s="757">
        <f>'[1]4.NERACA'!D184</f>
        <v>0</v>
      </c>
      <c r="C1693" s="758"/>
      <c r="D1693" s="758"/>
      <c r="E1693" s="759"/>
      <c r="F1693" s="931">
        <f>'[1]4.NERACA'!E184</f>
        <v>0</v>
      </c>
      <c r="G1693" s="931"/>
      <c r="H1693" s="931"/>
      <c r="I1693" s="931">
        <f>'[1]4.NERACA'!F184</f>
        <v>0</v>
      </c>
      <c r="J1693" s="931"/>
      <c r="K1693" s="931"/>
      <c r="L1693" s="931">
        <f>'[1]4.NERACA'!G184</f>
        <v>0</v>
      </c>
      <c r="M1693" s="931"/>
      <c r="N1693" s="931"/>
      <c r="O1693" s="931">
        <f>'[1]4.NERACA'!H184</f>
        <v>0</v>
      </c>
      <c r="P1693" s="931"/>
      <c r="Q1693" s="931"/>
      <c r="R1693" s="931">
        <f>B1693-F1693+I1693-L1693+O1693</f>
        <v>0</v>
      </c>
      <c r="S1693" s="931"/>
      <c r="T1693" s="931"/>
      <c r="U1693" s="931"/>
      <c r="V1693" s="808"/>
      <c r="W1693" s="805"/>
      <c r="X1693" s="805"/>
      <c r="Y1693" s="208" t="e">
        <f>(R1693-B1693)/B1693*100</f>
        <v>#DIV/0!</v>
      </c>
      <c r="Z1693" s="805"/>
      <c r="AA1693" s="805"/>
      <c r="AB1693" s="805"/>
      <c r="AC1693" s="451">
        <f>R1693-B1693</f>
        <v>0</v>
      </c>
      <c r="AD1693" s="452"/>
      <c r="AE1693" s="452"/>
      <c r="AF1693" s="453"/>
    </row>
    <row r="1694" spans="1:32" s="20" customFormat="1" ht="26.25" customHeight="1">
      <c r="A1694" s="955" t="str">
        <f>'[1]4.NERACA'!C186</f>
        <v>Pendapatan Diterima Dimuka lainnya</v>
      </c>
      <c r="B1694" s="757">
        <f>'[1]4.NERACA'!D185</f>
        <v>0</v>
      </c>
      <c r="C1694" s="758"/>
      <c r="D1694" s="758"/>
      <c r="E1694" s="759"/>
      <c r="F1694" s="931">
        <f>'[1]4.NERACA'!E185</f>
        <v>0</v>
      </c>
      <c r="G1694" s="931"/>
      <c r="H1694" s="931"/>
      <c r="I1694" s="931">
        <f>'[1]4.NERACA'!F185</f>
        <v>0</v>
      </c>
      <c r="J1694" s="931"/>
      <c r="K1694" s="931"/>
      <c r="L1694" s="931">
        <f>'[1]4.NERACA'!G185</f>
        <v>0</v>
      </c>
      <c r="M1694" s="931"/>
      <c r="N1694" s="931"/>
      <c r="O1694" s="931">
        <f>'[1]4.NERACA'!H185</f>
        <v>0</v>
      </c>
      <c r="P1694" s="931"/>
      <c r="Q1694" s="931"/>
      <c r="R1694" s="931">
        <f>B1694-F1694+I1694-L1694+O1694</f>
        <v>0</v>
      </c>
      <c r="S1694" s="931"/>
      <c r="T1694" s="931"/>
      <c r="U1694" s="931"/>
      <c r="V1694" s="808"/>
      <c r="W1694" s="805"/>
      <c r="X1694" s="805"/>
      <c r="Y1694" s="208" t="e">
        <f>(R1694-B1694)/B1694*100</f>
        <v>#DIV/0!</v>
      </c>
      <c r="Z1694" s="805"/>
      <c r="AA1694" s="805"/>
      <c r="AB1694" s="805"/>
      <c r="AC1694" s="451">
        <f>R1694-B1694</f>
        <v>0</v>
      </c>
      <c r="AD1694" s="452"/>
      <c r="AE1694" s="452"/>
      <c r="AF1694" s="453"/>
    </row>
    <row r="1695" spans="1:32" s="20" customFormat="1" ht="26.25" customHeight="1">
      <c r="A1695" s="959" t="s">
        <v>143</v>
      </c>
      <c r="B1695" s="757">
        <f>SUM(B1691:E1694)</f>
        <v>24900000</v>
      </c>
      <c r="C1695" s="758"/>
      <c r="D1695" s="758"/>
      <c r="E1695" s="759"/>
      <c r="F1695" s="931">
        <f>SUM(F1691:H1694)</f>
        <v>0</v>
      </c>
      <c r="G1695" s="931"/>
      <c r="H1695" s="931"/>
      <c r="I1695" s="931">
        <f>SUM(I1691:K1694)</f>
        <v>0</v>
      </c>
      <c r="J1695" s="931"/>
      <c r="K1695" s="931"/>
      <c r="L1695" s="931">
        <f>SUM(L1691:N1694)</f>
        <v>0</v>
      </c>
      <c r="M1695" s="931"/>
      <c r="N1695" s="931"/>
      <c r="O1695" s="931">
        <f>SUM(O1691:Q1694)</f>
        <v>0</v>
      </c>
      <c r="P1695" s="931"/>
      <c r="Q1695" s="931"/>
      <c r="R1695" s="931">
        <f>SUM(R1691:U1694)</f>
        <v>24900000</v>
      </c>
      <c r="S1695" s="931"/>
      <c r="T1695" s="931"/>
      <c r="U1695" s="931"/>
      <c r="V1695" s="808"/>
      <c r="W1695" s="805"/>
      <c r="X1695" s="805"/>
      <c r="Y1695" s="208">
        <f>(R1695-B1695)/B1695*100</f>
        <v>0</v>
      </c>
      <c r="Z1695" s="805"/>
      <c r="AA1695" s="805"/>
      <c r="AB1695" s="805"/>
      <c r="AC1695" s="451">
        <f>R1695-B1695</f>
        <v>0</v>
      </c>
      <c r="AD1695" s="452"/>
      <c r="AE1695" s="452"/>
      <c r="AF1695" s="453"/>
    </row>
    <row r="1696" spans="1:32" s="20" customFormat="1" ht="13.5" customHeight="1">
      <c r="A1696" s="14"/>
      <c r="B1696" s="164"/>
      <c r="C1696" s="164"/>
      <c r="D1696" s="164"/>
      <c r="E1696" s="164"/>
      <c r="F1696" s="164"/>
      <c r="G1696" s="164"/>
      <c r="H1696" s="164"/>
      <c r="I1696" s="164"/>
      <c r="J1696" s="164"/>
      <c r="K1696" s="164"/>
      <c r="L1696" s="164"/>
      <c r="M1696" s="164"/>
      <c r="N1696" s="164"/>
      <c r="O1696" s="164"/>
      <c r="P1696" s="164"/>
      <c r="Q1696" s="164"/>
      <c r="R1696" s="164"/>
      <c r="S1696" s="164"/>
      <c r="T1696" s="46"/>
      <c r="U1696" s="46"/>
      <c r="V1696" s="462"/>
      <c r="W1696" s="972"/>
      <c r="X1696" s="972"/>
      <c r="Y1696" s="463"/>
      <c r="Z1696" s="972"/>
      <c r="AA1696" s="972"/>
      <c r="AB1696" s="972"/>
      <c r="AC1696" s="465"/>
      <c r="AD1696" s="465"/>
      <c r="AE1696" s="465"/>
      <c r="AF1696" s="465"/>
    </row>
    <row r="1697" spans="1:33" s="20" customFormat="1" ht="19.5" customHeight="1">
      <c r="A1697" s="14"/>
      <c r="B1697" s="12"/>
      <c r="C1697" s="491" t="s">
        <v>514</v>
      </c>
      <c r="D1697" s="491"/>
      <c r="E1697" s="491"/>
      <c r="F1697" s="491"/>
      <c r="G1697" s="491"/>
      <c r="H1697" s="491"/>
      <c r="I1697" s="491"/>
      <c r="J1697" s="491"/>
      <c r="K1697" s="491"/>
      <c r="L1697" s="491"/>
      <c r="M1697" s="491"/>
      <c r="N1697" s="491"/>
      <c r="O1697" s="491"/>
      <c r="P1697" s="491"/>
      <c r="Q1697" s="491"/>
      <c r="R1697" s="491"/>
      <c r="S1697" s="491"/>
      <c r="T1697" s="491"/>
      <c r="U1697" s="491"/>
      <c r="V1697" s="27"/>
    </row>
    <row r="1698" spans="1:33" s="20" customFormat="1" ht="64.5" customHeight="1">
      <c r="A1698" s="14"/>
      <c r="C1698" s="313" t="str">
        <f>"Nilai Utang Belanja per "&amp;'[1]2.ISIAN DATA SKPD'!D8&amp;" dan "&amp;'[1]2.ISIAN DATA SKPD'!D12&amp;"  adalah masing-masing sebesar Rp. "&amp;FIXED(R1708)&amp;" dan Rp. "&amp;FIXED(B1708)&amp;" mengalami kenaikan/penurunan sebesar Rp. "&amp;FIXED(AC1708)&amp;" atau "&amp;FIXED(Y1708)&amp;"% dari tahun "&amp;'[1]2.ISIAN DATA SKPD'!D12&amp;"."</f>
        <v>Nilai Utang Belanja per 31 Desember 2017 dan 2016  adalah masing-masing sebesar Rp. 52,335,779.00 dan Rp. 140,492,058.00 mengalami kenaikan/penurunan sebesar Rp. -88,156,279.00 atau -62.75% dari tahun 2016.</v>
      </c>
      <c r="D1698" s="313"/>
      <c r="E1698" s="313"/>
      <c r="F1698" s="313"/>
      <c r="G1698" s="313"/>
      <c r="H1698" s="313"/>
      <c r="I1698" s="313"/>
      <c r="J1698" s="313"/>
      <c r="K1698" s="313"/>
      <c r="L1698" s="313"/>
      <c r="M1698" s="313"/>
      <c r="N1698" s="313"/>
      <c r="O1698" s="313"/>
      <c r="P1698" s="313"/>
      <c r="Q1698" s="313"/>
      <c r="R1698" s="313"/>
      <c r="S1698" s="313"/>
      <c r="T1698" s="313"/>
      <c r="U1698" s="313"/>
      <c r="V1698" s="27"/>
    </row>
    <row r="1699" spans="1:33" s="20" customFormat="1" ht="12.75" customHeight="1">
      <c r="A1699" s="14"/>
      <c r="C1699" s="882"/>
      <c r="D1699" s="882"/>
      <c r="E1699" s="882"/>
      <c r="F1699" s="882"/>
      <c r="G1699" s="882"/>
      <c r="H1699" s="882"/>
      <c r="I1699" s="882"/>
      <c r="J1699" s="882"/>
      <c r="K1699" s="882"/>
      <c r="L1699" s="882"/>
      <c r="M1699" s="882"/>
      <c r="N1699" s="882"/>
      <c r="O1699" s="882"/>
      <c r="P1699" s="882"/>
      <c r="Q1699" s="882"/>
      <c r="R1699" s="882"/>
      <c r="S1699" s="882"/>
      <c r="T1699" s="882"/>
      <c r="U1699" s="882"/>
      <c r="V1699" s="27"/>
    </row>
    <row r="1700" spans="1:33" s="20" customFormat="1" ht="16.5" customHeight="1">
      <c r="A1700" s="726" t="s">
        <v>84</v>
      </c>
      <c r="B1700" s="573" t="s">
        <v>411</v>
      </c>
      <c r="C1700" s="457"/>
      <c r="D1700" s="457"/>
      <c r="E1700" s="458"/>
      <c r="F1700" s="786" t="s">
        <v>412</v>
      </c>
      <c r="G1700" s="786"/>
      <c r="H1700" s="786"/>
      <c r="I1700" s="786"/>
      <c r="J1700" s="786"/>
      <c r="K1700" s="786"/>
      <c r="L1700" s="786" t="s">
        <v>413</v>
      </c>
      <c r="M1700" s="786"/>
      <c r="N1700" s="786"/>
      <c r="O1700" s="786"/>
      <c r="P1700" s="786"/>
      <c r="Q1700" s="786"/>
      <c r="R1700" s="99" t="s">
        <v>414</v>
      </c>
      <c r="S1700" s="99"/>
      <c r="T1700" s="99"/>
      <c r="U1700" s="99"/>
      <c r="V1700" s="27"/>
      <c r="AG1700" s="614"/>
    </row>
    <row r="1701" spans="1:33" s="20" customFormat="1" ht="13.5" customHeight="1">
      <c r="A1701" s="732"/>
      <c r="B1701" s="787">
        <f>B1690</f>
        <v>2017</v>
      </c>
      <c r="C1701" s="788"/>
      <c r="D1701" s="788"/>
      <c r="E1701" s="789"/>
      <c r="F1701" s="99" t="s">
        <v>415</v>
      </c>
      <c r="G1701" s="99"/>
      <c r="H1701" s="99"/>
      <c r="I1701" s="99" t="s">
        <v>416</v>
      </c>
      <c r="J1701" s="99"/>
      <c r="K1701" s="99"/>
      <c r="L1701" s="99" t="s">
        <v>415</v>
      </c>
      <c r="M1701" s="99"/>
      <c r="N1701" s="99"/>
      <c r="O1701" s="790" t="s">
        <v>416</v>
      </c>
      <c r="P1701" s="790"/>
      <c r="Q1701" s="790"/>
      <c r="R1701" s="787">
        <f>R1690</f>
        <v>2017</v>
      </c>
      <c r="S1701" s="788"/>
      <c r="T1701" s="788"/>
      <c r="U1701" s="789"/>
      <c r="V1701" s="804"/>
      <c r="W1701" s="805"/>
      <c r="X1701" s="805"/>
      <c r="Y1701" s="208" t="s">
        <v>417</v>
      </c>
      <c r="Z1701" s="805"/>
      <c r="AA1701" s="805"/>
      <c r="AB1701" s="805"/>
      <c r="AC1701" s="712" t="s">
        <v>404</v>
      </c>
      <c r="AD1701" s="713"/>
      <c r="AE1701" s="713"/>
      <c r="AF1701" s="806"/>
    </row>
    <row r="1702" spans="1:33" s="20" customFormat="1" ht="24" customHeight="1">
      <c r="A1702" s="955" t="str">
        <f>'[1]4.NERACA'!C188</f>
        <v>Utang Belanja Pegawai</v>
      </c>
      <c r="B1702" s="853">
        <f>'[1]4.NERACA'!D188</f>
        <v>0</v>
      </c>
      <c r="C1702" s="854"/>
      <c r="D1702" s="854"/>
      <c r="E1702" s="855"/>
      <c r="F1702" s="973">
        <f>'[1]4.NERACA'!E188</f>
        <v>0</v>
      </c>
      <c r="G1702" s="973"/>
      <c r="H1702" s="973"/>
      <c r="I1702" s="973">
        <f>'[1]4.NERACA'!F188</f>
        <v>0</v>
      </c>
      <c r="J1702" s="973"/>
      <c r="K1702" s="973"/>
      <c r="L1702" s="973">
        <f>'[1]4.NERACA'!G188</f>
        <v>0</v>
      </c>
      <c r="M1702" s="973"/>
      <c r="N1702" s="973"/>
      <c r="O1702" s="973">
        <f>'[1]4.NERACA'!H188</f>
        <v>0</v>
      </c>
      <c r="P1702" s="973"/>
      <c r="Q1702" s="973"/>
      <c r="R1702" s="973">
        <f t="shared" ref="R1702:R1707" si="35">B1702-F1702+I1702-L1702+O1702</f>
        <v>0</v>
      </c>
      <c r="S1702" s="973"/>
      <c r="T1702" s="973"/>
      <c r="U1702" s="973"/>
      <c r="V1702" s="808"/>
      <c r="W1702" s="805"/>
      <c r="X1702" s="805"/>
      <c r="Y1702" s="208" t="e">
        <f t="shared" ref="Y1702:Y1708" si="36">(R1702-B1702)/B1702*100</f>
        <v>#DIV/0!</v>
      </c>
      <c r="Z1702" s="805"/>
      <c r="AA1702" s="805"/>
      <c r="AB1702" s="805"/>
      <c r="AC1702" s="451">
        <f t="shared" ref="AC1702:AC1708" si="37">R1702-B1702</f>
        <v>0</v>
      </c>
      <c r="AD1702" s="452"/>
      <c r="AE1702" s="452"/>
      <c r="AF1702" s="453"/>
    </row>
    <row r="1703" spans="1:33" s="20" customFormat="1" ht="39.75" customHeight="1">
      <c r="A1703" s="955" t="str">
        <f>'[1]4.NERACA'!C189</f>
        <v>Utang Belanja Barang dan Jasa</v>
      </c>
      <c r="B1703" s="148">
        <f>'[1]4.NERACA'!D189</f>
        <v>52954058</v>
      </c>
      <c r="C1703" s="149"/>
      <c r="D1703" s="149"/>
      <c r="E1703" s="150"/>
      <c r="F1703" s="974">
        <f>'[1]4.NERACA'!E189</f>
        <v>0</v>
      </c>
      <c r="G1703" s="974"/>
      <c r="H1703" s="974"/>
      <c r="I1703" s="974">
        <f>'[1]4.NERACA'!F189</f>
        <v>0</v>
      </c>
      <c r="J1703" s="974"/>
      <c r="K1703" s="974"/>
      <c r="L1703" s="974">
        <f>'[1]4.NERACA'!G189</f>
        <v>3834058</v>
      </c>
      <c r="M1703" s="974"/>
      <c r="N1703" s="974"/>
      <c r="O1703" s="974">
        <f>'[1]4.NERACA'!H189</f>
        <v>3215779</v>
      </c>
      <c r="P1703" s="974"/>
      <c r="Q1703" s="974"/>
      <c r="R1703" s="974">
        <f t="shared" si="35"/>
        <v>52335779</v>
      </c>
      <c r="S1703" s="974"/>
      <c r="T1703" s="974"/>
      <c r="U1703" s="974"/>
      <c r="V1703" s="808"/>
      <c r="W1703" s="805"/>
      <c r="X1703" s="805"/>
      <c r="Y1703" s="208">
        <f t="shared" si="36"/>
        <v>-1.1675762412769197</v>
      </c>
      <c r="Z1703" s="805"/>
      <c r="AA1703" s="805"/>
      <c r="AB1703" s="805"/>
      <c r="AC1703" s="451">
        <f t="shared" si="37"/>
        <v>-618279</v>
      </c>
      <c r="AD1703" s="452"/>
      <c r="AE1703" s="452"/>
      <c r="AF1703" s="453"/>
    </row>
    <row r="1704" spans="1:33" s="20" customFormat="1" ht="29.25" customHeight="1">
      <c r="A1704" s="955" t="str">
        <f>'[1]4.NERACA'!C190</f>
        <v>Utang Belanja Modal</v>
      </c>
      <c r="B1704" s="837">
        <f>'[1]4.NERACA'!D190</f>
        <v>87538000</v>
      </c>
      <c r="C1704" s="838"/>
      <c r="D1704" s="838"/>
      <c r="E1704" s="839"/>
      <c r="F1704" s="928">
        <f>'[1]4.NERACA'!E190</f>
        <v>0</v>
      </c>
      <c r="G1704" s="928"/>
      <c r="H1704" s="928"/>
      <c r="I1704" s="928">
        <f>'[1]4.NERACA'!F190</f>
        <v>0</v>
      </c>
      <c r="J1704" s="928"/>
      <c r="K1704" s="928"/>
      <c r="L1704" s="928">
        <f>'[1]4.NERACA'!G190</f>
        <v>87538000</v>
      </c>
      <c r="M1704" s="928"/>
      <c r="N1704" s="928"/>
      <c r="O1704" s="928">
        <f>'[1]4.NERACA'!H190</f>
        <v>0</v>
      </c>
      <c r="P1704" s="928"/>
      <c r="Q1704" s="928"/>
      <c r="R1704" s="928">
        <f t="shared" si="35"/>
        <v>0</v>
      </c>
      <c r="S1704" s="928"/>
      <c r="T1704" s="928"/>
      <c r="U1704" s="928"/>
      <c r="V1704" s="808"/>
      <c r="W1704" s="805"/>
      <c r="X1704" s="805"/>
      <c r="Y1704" s="208">
        <f t="shared" si="36"/>
        <v>-100</v>
      </c>
      <c r="Z1704" s="805"/>
      <c r="AA1704" s="805"/>
      <c r="AB1704" s="805"/>
      <c r="AC1704" s="451">
        <f t="shared" si="37"/>
        <v>-87538000</v>
      </c>
      <c r="AD1704" s="452"/>
      <c r="AE1704" s="452"/>
      <c r="AF1704" s="453"/>
    </row>
    <row r="1705" spans="1:33" s="20" customFormat="1" ht="25.5" customHeight="1">
      <c r="A1705" s="955" t="str">
        <f>'[1]4.NERACA'!C191</f>
        <v>Utang Belanja Subsidi</v>
      </c>
      <c r="B1705" s="837">
        <f>'[1]4.NERACA'!D191</f>
        <v>0</v>
      </c>
      <c r="C1705" s="838"/>
      <c r="D1705" s="838"/>
      <c r="E1705" s="839"/>
      <c r="F1705" s="928">
        <f>'[1]4.NERACA'!E191</f>
        <v>0</v>
      </c>
      <c r="G1705" s="928"/>
      <c r="H1705" s="928"/>
      <c r="I1705" s="928">
        <f>'[1]4.NERACA'!F191</f>
        <v>0</v>
      </c>
      <c r="J1705" s="928"/>
      <c r="K1705" s="928"/>
      <c r="L1705" s="928">
        <f>'[1]4.NERACA'!G191</f>
        <v>0</v>
      </c>
      <c r="M1705" s="928"/>
      <c r="N1705" s="928"/>
      <c r="O1705" s="928">
        <f>'[1]4.NERACA'!H190</f>
        <v>0</v>
      </c>
      <c r="P1705" s="928"/>
      <c r="Q1705" s="928"/>
      <c r="R1705" s="928">
        <f t="shared" si="35"/>
        <v>0</v>
      </c>
      <c r="S1705" s="928"/>
      <c r="T1705" s="928"/>
      <c r="U1705" s="928"/>
      <c r="V1705" s="808"/>
      <c r="W1705" s="805"/>
      <c r="X1705" s="805"/>
      <c r="Y1705" s="208" t="e">
        <f t="shared" si="36"/>
        <v>#DIV/0!</v>
      </c>
      <c r="Z1705" s="805"/>
      <c r="AA1705" s="805"/>
      <c r="AB1705" s="805"/>
      <c r="AC1705" s="451">
        <f t="shared" si="37"/>
        <v>0</v>
      </c>
      <c r="AD1705" s="452"/>
      <c r="AE1705" s="452"/>
      <c r="AF1705" s="453"/>
    </row>
    <row r="1706" spans="1:33" s="20" customFormat="1" ht="30.75" customHeight="1">
      <c r="A1706" s="955" t="str">
        <f>'[1]4.NERACA'!C192</f>
        <v>Utang Transfer Pemerintah Daerah Lainnya</v>
      </c>
      <c r="B1706" s="837">
        <f>'[1]4.NERACA'!D191</f>
        <v>0</v>
      </c>
      <c r="C1706" s="838"/>
      <c r="D1706" s="838"/>
      <c r="E1706" s="839"/>
      <c r="F1706" s="928">
        <f>'[1]4.NERACA'!E191</f>
        <v>0</v>
      </c>
      <c r="G1706" s="928"/>
      <c r="H1706" s="928"/>
      <c r="I1706" s="928">
        <f>'[1]4.NERACA'!F191</f>
        <v>0</v>
      </c>
      <c r="J1706" s="928"/>
      <c r="K1706" s="928"/>
      <c r="L1706" s="928">
        <f>'[1]4.NERACA'!G191</f>
        <v>0</v>
      </c>
      <c r="M1706" s="928"/>
      <c r="N1706" s="928"/>
      <c r="O1706" s="928">
        <f>'[1]4.NERACA'!H191</f>
        <v>0</v>
      </c>
      <c r="P1706" s="928"/>
      <c r="Q1706" s="928"/>
      <c r="R1706" s="928">
        <f t="shared" si="35"/>
        <v>0</v>
      </c>
      <c r="S1706" s="928"/>
      <c r="T1706" s="928"/>
      <c r="U1706" s="928"/>
      <c r="V1706" s="808"/>
      <c r="W1706" s="805"/>
      <c r="X1706" s="805"/>
      <c r="Y1706" s="208" t="e">
        <f t="shared" si="36"/>
        <v>#DIV/0!</v>
      </c>
      <c r="Z1706" s="805"/>
      <c r="AA1706" s="805"/>
      <c r="AB1706" s="805"/>
      <c r="AC1706" s="451">
        <f t="shared" si="37"/>
        <v>0</v>
      </c>
      <c r="AD1706" s="452"/>
      <c r="AE1706" s="452"/>
      <c r="AF1706" s="453"/>
    </row>
    <row r="1707" spans="1:33" s="20" customFormat="1" ht="22.5" customHeight="1">
      <c r="A1707" s="955" t="str">
        <f>'[1]4.NERACA'!C193</f>
        <v>Utang Belanja Lain-lain</v>
      </c>
      <c r="B1707" s="837">
        <f>'[1]4.NERACA'!D192</f>
        <v>0</v>
      </c>
      <c r="C1707" s="838"/>
      <c r="D1707" s="838"/>
      <c r="E1707" s="839"/>
      <c r="F1707" s="928">
        <f>'[1]4.NERACA'!E192</f>
        <v>0</v>
      </c>
      <c r="G1707" s="928"/>
      <c r="H1707" s="928"/>
      <c r="I1707" s="928">
        <f>'[1]4.NERACA'!F192</f>
        <v>0</v>
      </c>
      <c r="J1707" s="928"/>
      <c r="K1707" s="928"/>
      <c r="L1707" s="928">
        <f>'[1]4.NERACA'!G192</f>
        <v>0</v>
      </c>
      <c r="M1707" s="928"/>
      <c r="N1707" s="928"/>
      <c r="O1707" s="928">
        <f>'[1]4.NERACA'!H192</f>
        <v>0</v>
      </c>
      <c r="P1707" s="928"/>
      <c r="Q1707" s="928"/>
      <c r="R1707" s="928">
        <f t="shared" si="35"/>
        <v>0</v>
      </c>
      <c r="S1707" s="928"/>
      <c r="T1707" s="928"/>
      <c r="U1707" s="928"/>
      <c r="V1707" s="808"/>
      <c r="W1707" s="805"/>
      <c r="X1707" s="805"/>
      <c r="Y1707" s="208" t="e">
        <f t="shared" si="36"/>
        <v>#DIV/0!</v>
      </c>
      <c r="Z1707" s="805"/>
      <c r="AA1707" s="805"/>
      <c r="AB1707" s="805"/>
      <c r="AC1707" s="451">
        <f t="shared" si="37"/>
        <v>0</v>
      </c>
      <c r="AD1707" s="452"/>
      <c r="AE1707" s="452"/>
      <c r="AF1707" s="453"/>
    </row>
    <row r="1708" spans="1:33" s="20" customFormat="1" ht="22.5" customHeight="1">
      <c r="A1708" s="962" t="s">
        <v>143</v>
      </c>
      <c r="B1708" s="975">
        <f>SUM(B1702:E1707)</f>
        <v>140492058</v>
      </c>
      <c r="C1708" s="976"/>
      <c r="D1708" s="976"/>
      <c r="E1708" s="977"/>
      <c r="F1708" s="978">
        <f>SUM(F1702:H1707)</f>
        <v>0</v>
      </c>
      <c r="G1708" s="978"/>
      <c r="H1708" s="978"/>
      <c r="I1708" s="978">
        <f>SUM(I1702:K1707)</f>
        <v>0</v>
      </c>
      <c r="J1708" s="978"/>
      <c r="K1708" s="978"/>
      <c r="L1708" s="978">
        <f>SUM(L1702:N1707)</f>
        <v>91372058</v>
      </c>
      <c r="M1708" s="978"/>
      <c r="N1708" s="978"/>
      <c r="O1708" s="978">
        <f>SUM(O1702:Q1707)</f>
        <v>3215779</v>
      </c>
      <c r="P1708" s="978"/>
      <c r="Q1708" s="978"/>
      <c r="R1708" s="978">
        <f>SUM(R1702:U1707)</f>
        <v>52335779</v>
      </c>
      <c r="S1708" s="978"/>
      <c r="T1708" s="978"/>
      <c r="U1708" s="978"/>
      <c r="V1708" s="808"/>
      <c r="W1708" s="805"/>
      <c r="X1708" s="805"/>
      <c r="Y1708" s="208">
        <f t="shared" si="36"/>
        <v>-62.748229512019819</v>
      </c>
      <c r="Z1708" s="805"/>
      <c r="AA1708" s="805"/>
      <c r="AB1708" s="805"/>
      <c r="AC1708" s="451">
        <f t="shared" si="37"/>
        <v>-88156279</v>
      </c>
      <c r="AD1708" s="452"/>
      <c r="AE1708" s="452"/>
      <c r="AF1708" s="453"/>
    </row>
    <row r="1709" spans="1:33" s="20" customFormat="1" ht="18.75" customHeight="1">
      <c r="A1709" s="14"/>
      <c r="B1709" s="164"/>
      <c r="C1709" s="164"/>
      <c r="D1709" s="164"/>
      <c r="E1709" s="164"/>
      <c r="F1709" s="164"/>
      <c r="G1709" s="164"/>
      <c r="H1709" s="164"/>
      <c r="I1709" s="164"/>
      <c r="J1709" s="164"/>
      <c r="K1709" s="164"/>
      <c r="L1709" s="164"/>
      <c r="M1709" s="164"/>
      <c r="N1709" s="164"/>
      <c r="O1709" s="164"/>
      <c r="P1709" s="164"/>
      <c r="Q1709" s="164"/>
      <c r="R1709" s="164"/>
      <c r="S1709" s="164"/>
      <c r="T1709" s="46"/>
      <c r="U1709" s="46"/>
      <c r="V1709" s="27"/>
    </row>
    <row r="1710" spans="1:33" s="20" customFormat="1" ht="27.75" customHeight="1">
      <c r="A1710" s="14"/>
      <c r="B1710" s="12"/>
      <c r="C1710" s="491" t="s">
        <v>515</v>
      </c>
      <c r="D1710" s="491"/>
      <c r="E1710" s="491"/>
      <c r="F1710" s="491"/>
      <c r="G1710" s="491"/>
      <c r="H1710" s="491"/>
      <c r="I1710" s="491"/>
      <c r="J1710" s="491"/>
      <c r="K1710" s="491"/>
      <c r="L1710" s="491"/>
      <c r="M1710" s="491"/>
      <c r="N1710" s="491"/>
      <c r="O1710" s="491"/>
      <c r="P1710" s="491"/>
      <c r="Q1710" s="491"/>
      <c r="R1710" s="491"/>
      <c r="S1710" s="491"/>
      <c r="T1710" s="491"/>
      <c r="U1710" s="491"/>
      <c r="V1710" s="27"/>
    </row>
    <row r="1711" spans="1:33" s="20" customFormat="1" ht="64.5" customHeight="1">
      <c r="A1711" s="14"/>
      <c r="C1711" s="313" t="str">
        <f>"Nilai Utang Jangka Pendek Lainnya per "&amp;'[1]2.ISIAN DATA SKPD'!D8&amp;" dan "&amp;'[1]2.ISIAN DATA SKPD'!D12&amp;"  adalah masing-masing sebesar Rp. "&amp;FIXED(R1720)&amp;" dan Rp. "&amp;FIXED(B1720)&amp;" mengalami kenaikan/penurunan sebesar Rp. "&amp;FIXED('[1]4.NERACA'!K194)&amp;" atau sebesar "&amp;FIXED('[1]4.NERACA'!J194)&amp;"% dari tahun "&amp;'[1]2.ISIAN DATA SKPD'!D12&amp;"."</f>
        <v>Nilai Utang Jangka Pendek Lainnya per 31 Desember 2017 dan 2016  adalah masing-masing sebesar Rp. 0.00 dan Rp. 0.00 mengalami kenaikan/penurunan sebesar Rp. 0.00 atau sebesar 0.00% dari tahun 2016.</v>
      </c>
      <c r="D1711" s="313"/>
      <c r="E1711" s="313"/>
      <c r="F1711" s="313"/>
      <c r="G1711" s="313"/>
      <c r="H1711" s="313"/>
      <c r="I1711" s="313"/>
      <c r="J1711" s="313"/>
      <c r="K1711" s="313"/>
      <c r="L1711" s="313"/>
      <c r="M1711" s="313"/>
      <c r="N1711" s="313"/>
      <c r="O1711" s="313"/>
      <c r="P1711" s="313"/>
      <c r="Q1711" s="313"/>
      <c r="R1711" s="313"/>
      <c r="S1711" s="313"/>
      <c r="T1711" s="313"/>
      <c r="U1711" s="313"/>
      <c r="V1711" s="27"/>
    </row>
    <row r="1712" spans="1:33" s="20" customFormat="1" ht="22.5" customHeight="1">
      <c r="A1712" s="14"/>
      <c r="C1712" s="882"/>
      <c r="D1712" s="882"/>
      <c r="E1712" s="882"/>
      <c r="F1712" s="882"/>
      <c r="G1712" s="882"/>
      <c r="H1712" s="882"/>
      <c r="I1712" s="882"/>
      <c r="J1712" s="882"/>
      <c r="K1712" s="882"/>
      <c r="L1712" s="882"/>
      <c r="M1712" s="882"/>
      <c r="N1712" s="882"/>
      <c r="O1712" s="882"/>
      <c r="P1712" s="882"/>
      <c r="Q1712" s="882"/>
      <c r="R1712" s="882"/>
      <c r="S1712" s="882"/>
      <c r="T1712" s="882"/>
      <c r="U1712" s="882"/>
      <c r="V1712" s="27"/>
    </row>
    <row r="1713" spans="1:32" s="20" customFormat="1" ht="21.75" customHeight="1">
      <c r="A1713" s="726" t="s">
        <v>84</v>
      </c>
      <c r="B1713" s="573" t="s">
        <v>411</v>
      </c>
      <c r="C1713" s="457"/>
      <c r="D1713" s="457"/>
      <c r="E1713" s="458"/>
      <c r="F1713" s="786" t="s">
        <v>412</v>
      </c>
      <c r="G1713" s="786"/>
      <c r="H1713" s="786"/>
      <c r="I1713" s="786"/>
      <c r="J1713" s="786"/>
      <c r="K1713" s="786"/>
      <c r="L1713" s="786" t="s">
        <v>413</v>
      </c>
      <c r="M1713" s="786"/>
      <c r="N1713" s="786"/>
      <c r="O1713" s="786"/>
      <c r="P1713" s="786"/>
      <c r="Q1713" s="786"/>
      <c r="R1713" s="99" t="s">
        <v>414</v>
      </c>
      <c r="S1713" s="99"/>
      <c r="T1713" s="99"/>
      <c r="U1713" s="99"/>
      <c r="V1713" s="27"/>
    </row>
    <row r="1714" spans="1:32" s="20" customFormat="1" ht="19.5" customHeight="1">
      <c r="A1714" s="732"/>
      <c r="B1714" s="787">
        <f>B1373</f>
        <v>2017</v>
      </c>
      <c r="C1714" s="788"/>
      <c r="D1714" s="788"/>
      <c r="E1714" s="789"/>
      <c r="F1714" s="99" t="s">
        <v>415</v>
      </c>
      <c r="G1714" s="99"/>
      <c r="H1714" s="99"/>
      <c r="I1714" s="99" t="s">
        <v>416</v>
      </c>
      <c r="J1714" s="99"/>
      <c r="K1714" s="99"/>
      <c r="L1714" s="99" t="s">
        <v>415</v>
      </c>
      <c r="M1714" s="99"/>
      <c r="N1714" s="99"/>
      <c r="O1714" s="790" t="s">
        <v>416</v>
      </c>
      <c r="P1714" s="790"/>
      <c r="Q1714" s="790"/>
      <c r="R1714" s="787">
        <f>R1373</f>
        <v>2017</v>
      </c>
      <c r="S1714" s="788"/>
      <c r="T1714" s="788"/>
      <c r="U1714" s="789"/>
      <c r="V1714" s="804"/>
      <c r="W1714" s="805"/>
      <c r="X1714" s="805"/>
      <c r="Y1714" s="208" t="s">
        <v>417</v>
      </c>
      <c r="Z1714" s="805"/>
      <c r="AA1714" s="805"/>
      <c r="AB1714" s="805"/>
      <c r="AC1714" s="712" t="s">
        <v>404</v>
      </c>
      <c r="AD1714" s="713"/>
      <c r="AE1714" s="713"/>
      <c r="AF1714" s="806"/>
    </row>
    <row r="1715" spans="1:32" s="20" customFormat="1" ht="42" customHeight="1">
      <c r="A1715" s="955" t="str">
        <f>'[1]4.NERACA'!C195</f>
        <v>Utang Kelebihan Pembayaran PAD</v>
      </c>
      <c r="B1715" s="757">
        <f>'[1]4.NERACA'!D194</f>
        <v>0</v>
      </c>
      <c r="C1715" s="758"/>
      <c r="D1715" s="758"/>
      <c r="E1715" s="759"/>
      <c r="F1715" s="931">
        <f>'[1]4.NERACA'!E194</f>
        <v>0</v>
      </c>
      <c r="G1715" s="931"/>
      <c r="H1715" s="931"/>
      <c r="I1715" s="931">
        <f>'[1]4.NERACA'!F194</f>
        <v>0</v>
      </c>
      <c r="J1715" s="931"/>
      <c r="K1715" s="931"/>
      <c r="L1715" s="931">
        <f>'[1]4.NERACA'!G194</f>
        <v>0</v>
      </c>
      <c r="M1715" s="931"/>
      <c r="N1715" s="931"/>
      <c r="O1715" s="931">
        <f>'[1]4.NERACA'!H194</f>
        <v>0</v>
      </c>
      <c r="P1715" s="931"/>
      <c r="Q1715" s="931"/>
      <c r="R1715" s="931">
        <f>B1715-F1715+I1715-L1715+O1715</f>
        <v>0</v>
      </c>
      <c r="S1715" s="931"/>
      <c r="T1715" s="931"/>
      <c r="U1715" s="931"/>
      <c r="V1715" s="808"/>
      <c r="W1715" s="805"/>
      <c r="X1715" s="805"/>
      <c r="Y1715" s="208" t="e">
        <f t="shared" ref="Y1715:Y1720" si="38">(R1715-B1715)/B1715*100</f>
        <v>#DIV/0!</v>
      </c>
      <c r="Z1715" s="805"/>
      <c r="AA1715" s="805"/>
      <c r="AB1715" s="805"/>
      <c r="AC1715" s="451">
        <f t="shared" ref="AC1715:AC1720" si="39">R1715-B1715</f>
        <v>0</v>
      </c>
      <c r="AD1715" s="452"/>
      <c r="AE1715" s="452"/>
      <c r="AF1715" s="453"/>
    </row>
    <row r="1716" spans="1:32" s="20" customFormat="1" ht="52.5" customHeight="1">
      <c r="A1716" s="955" t="str">
        <f>'[1]4.NERACA'!C196</f>
        <v>Utang Kelebihan Pembayaran Transfer</v>
      </c>
      <c r="B1716" s="757">
        <f>'[1]4.NERACA'!D195</f>
        <v>0</v>
      </c>
      <c r="C1716" s="758"/>
      <c r="D1716" s="758"/>
      <c r="E1716" s="759"/>
      <c r="F1716" s="931">
        <f>'[1]4.NERACA'!E195</f>
        <v>0</v>
      </c>
      <c r="G1716" s="931"/>
      <c r="H1716" s="931"/>
      <c r="I1716" s="931">
        <f>'[1]4.NERACA'!F195</f>
        <v>0</v>
      </c>
      <c r="J1716" s="931"/>
      <c r="K1716" s="931"/>
      <c r="L1716" s="931">
        <f>'[1]4.NERACA'!G195</f>
        <v>0</v>
      </c>
      <c r="M1716" s="931"/>
      <c r="N1716" s="931"/>
      <c r="O1716" s="931">
        <f>'[1]4.NERACA'!H195</f>
        <v>0</v>
      </c>
      <c r="P1716" s="931"/>
      <c r="Q1716" s="931"/>
      <c r="R1716" s="931">
        <f>B1716-F1716+I1716-L1716+O1716</f>
        <v>0</v>
      </c>
      <c r="S1716" s="931"/>
      <c r="T1716" s="931"/>
      <c r="U1716" s="931"/>
      <c r="V1716" s="808"/>
      <c r="W1716" s="805"/>
      <c r="X1716" s="805"/>
      <c r="Y1716" s="208" t="e">
        <f t="shared" si="38"/>
        <v>#DIV/0!</v>
      </c>
      <c r="Z1716" s="805"/>
      <c r="AA1716" s="805"/>
      <c r="AB1716" s="805"/>
      <c r="AC1716" s="451">
        <f t="shared" si="39"/>
        <v>0</v>
      </c>
      <c r="AD1716" s="452"/>
      <c r="AE1716" s="452"/>
      <c r="AF1716" s="453"/>
    </row>
    <row r="1717" spans="1:32" s="20" customFormat="1" ht="54" customHeight="1">
      <c r="A1717" s="955" t="str">
        <f>'[1]4.NERACA'!C197</f>
        <v>Utang Kelebihan Pembayaran Lain-Lain Pendapatan yang Sah</v>
      </c>
      <c r="B1717" s="757">
        <f>'[1]4.NERACA'!D196</f>
        <v>0</v>
      </c>
      <c r="C1717" s="758"/>
      <c r="D1717" s="758"/>
      <c r="E1717" s="759"/>
      <c r="F1717" s="931">
        <f>'[1]4.NERACA'!E196</f>
        <v>0</v>
      </c>
      <c r="G1717" s="931"/>
      <c r="H1717" s="931"/>
      <c r="I1717" s="931">
        <f>'[1]4.NERACA'!F196</f>
        <v>0</v>
      </c>
      <c r="J1717" s="931"/>
      <c r="K1717" s="931"/>
      <c r="L1717" s="931">
        <f>'[1]4.NERACA'!G196</f>
        <v>0</v>
      </c>
      <c r="M1717" s="931"/>
      <c r="N1717" s="931"/>
      <c r="O1717" s="931">
        <f>'[1]4.NERACA'!H196</f>
        <v>0</v>
      </c>
      <c r="P1717" s="931"/>
      <c r="Q1717" s="931"/>
      <c r="R1717" s="931">
        <f>B1717-F1717+I1717-L1717+O1717</f>
        <v>0</v>
      </c>
      <c r="S1717" s="931"/>
      <c r="T1717" s="931"/>
      <c r="U1717" s="931"/>
      <c r="V1717" s="808"/>
      <c r="W1717" s="805"/>
      <c r="X1717" s="805"/>
      <c r="Y1717" s="208" t="e">
        <f t="shared" si="38"/>
        <v>#DIV/0!</v>
      </c>
      <c r="Z1717" s="805"/>
      <c r="AA1717" s="805"/>
      <c r="AB1717" s="805"/>
      <c r="AC1717" s="451">
        <f t="shared" si="39"/>
        <v>0</v>
      </c>
      <c r="AD1717" s="452"/>
      <c r="AE1717" s="452"/>
      <c r="AF1717" s="453"/>
    </row>
    <row r="1718" spans="1:32" s="20" customFormat="1" ht="24" customHeight="1">
      <c r="A1718" s="955" t="str">
        <f>'[1]4.NERACA'!C198</f>
        <v>Utang Transfer</v>
      </c>
      <c r="B1718" s="757">
        <f>'[1]4.NERACA'!D197</f>
        <v>0</v>
      </c>
      <c r="C1718" s="758"/>
      <c r="D1718" s="758"/>
      <c r="E1718" s="759"/>
      <c r="F1718" s="931">
        <f>'[1]4.NERACA'!E197</f>
        <v>0</v>
      </c>
      <c r="G1718" s="931"/>
      <c r="H1718" s="931"/>
      <c r="I1718" s="931">
        <f>'[1]4.NERACA'!F197</f>
        <v>0</v>
      </c>
      <c r="J1718" s="931"/>
      <c r="K1718" s="931"/>
      <c r="L1718" s="931">
        <f>'[1]4.NERACA'!G197</f>
        <v>0</v>
      </c>
      <c r="M1718" s="931"/>
      <c r="N1718" s="931"/>
      <c r="O1718" s="931">
        <f>'[1]4.NERACA'!H197</f>
        <v>0</v>
      </c>
      <c r="P1718" s="931"/>
      <c r="Q1718" s="931"/>
      <c r="R1718" s="931">
        <f>B1718-F1718+I1718-L1718+O1718</f>
        <v>0</v>
      </c>
      <c r="S1718" s="931"/>
      <c r="T1718" s="931"/>
      <c r="U1718" s="931"/>
      <c r="V1718" s="808"/>
      <c r="W1718" s="805"/>
      <c r="X1718" s="805"/>
      <c r="Y1718" s="208" t="e">
        <f t="shared" si="38"/>
        <v>#DIV/0!</v>
      </c>
      <c r="Z1718" s="805"/>
      <c r="AA1718" s="805"/>
      <c r="AB1718" s="805"/>
      <c r="AC1718" s="451">
        <f t="shared" si="39"/>
        <v>0</v>
      </c>
      <c r="AD1718" s="452"/>
      <c r="AE1718" s="452"/>
      <c r="AF1718" s="453"/>
    </row>
    <row r="1719" spans="1:32" s="20" customFormat="1" ht="35.25" customHeight="1">
      <c r="A1719" s="955" t="str">
        <f>'[1]4.NERACA'!C199</f>
        <v>Utang Jangka Pendek Lainnya</v>
      </c>
      <c r="B1719" s="757">
        <f>'[1]4.NERACA'!D198</f>
        <v>0</v>
      </c>
      <c r="C1719" s="758"/>
      <c r="D1719" s="758"/>
      <c r="E1719" s="759"/>
      <c r="F1719" s="931">
        <f>'[1]4.NERACA'!E198</f>
        <v>0</v>
      </c>
      <c r="G1719" s="931"/>
      <c r="H1719" s="931"/>
      <c r="I1719" s="931">
        <f>'[1]4.NERACA'!F198</f>
        <v>0</v>
      </c>
      <c r="J1719" s="931"/>
      <c r="K1719" s="931"/>
      <c r="L1719" s="931">
        <f>'[1]4.NERACA'!G198</f>
        <v>0</v>
      </c>
      <c r="M1719" s="931"/>
      <c r="N1719" s="931"/>
      <c r="O1719" s="931">
        <f>'[1]4.NERACA'!H198</f>
        <v>0</v>
      </c>
      <c r="P1719" s="931"/>
      <c r="Q1719" s="931"/>
      <c r="R1719" s="931">
        <f>B1719-F1719+I1719-L1719+O1719</f>
        <v>0</v>
      </c>
      <c r="S1719" s="931"/>
      <c r="T1719" s="931"/>
      <c r="U1719" s="931"/>
      <c r="V1719" s="808"/>
      <c r="W1719" s="805"/>
      <c r="X1719" s="805"/>
      <c r="Y1719" s="208" t="e">
        <f t="shared" si="38"/>
        <v>#DIV/0!</v>
      </c>
      <c r="Z1719" s="805"/>
      <c r="AA1719" s="805"/>
      <c r="AB1719" s="805"/>
      <c r="AC1719" s="451">
        <f t="shared" si="39"/>
        <v>0</v>
      </c>
      <c r="AD1719" s="452"/>
      <c r="AE1719" s="452"/>
      <c r="AF1719" s="453"/>
    </row>
    <row r="1720" spans="1:32" s="20" customFormat="1" ht="32.25" customHeight="1">
      <c r="A1720" s="962" t="s">
        <v>143</v>
      </c>
      <c r="B1720" s="760">
        <f>SUM(B1715:E1719)</f>
        <v>0</v>
      </c>
      <c r="C1720" s="761"/>
      <c r="D1720" s="761"/>
      <c r="E1720" s="762"/>
      <c r="F1720" s="979">
        <f>SUM(F1715:H1719)</f>
        <v>0</v>
      </c>
      <c r="G1720" s="979"/>
      <c r="H1720" s="979"/>
      <c r="I1720" s="979">
        <f>SUM(I1715:K1719)</f>
        <v>0</v>
      </c>
      <c r="J1720" s="979"/>
      <c r="K1720" s="979"/>
      <c r="L1720" s="979">
        <f>SUM(L1715:N1719)</f>
        <v>0</v>
      </c>
      <c r="M1720" s="979"/>
      <c r="N1720" s="979"/>
      <c r="O1720" s="979">
        <f>SUM(O1715:Q1719)</f>
        <v>0</v>
      </c>
      <c r="P1720" s="979"/>
      <c r="Q1720" s="979"/>
      <c r="R1720" s="979">
        <f>SUM(R1715:U1719)</f>
        <v>0</v>
      </c>
      <c r="S1720" s="979"/>
      <c r="T1720" s="979"/>
      <c r="U1720" s="979"/>
      <c r="V1720" s="808"/>
      <c r="W1720" s="805"/>
      <c r="X1720" s="805"/>
      <c r="Y1720" s="208" t="e">
        <f t="shared" si="38"/>
        <v>#DIV/0!</v>
      </c>
      <c r="Z1720" s="805"/>
      <c r="AA1720" s="805"/>
      <c r="AB1720" s="805"/>
      <c r="AC1720" s="451">
        <f t="shared" si="39"/>
        <v>0</v>
      </c>
      <c r="AD1720" s="452"/>
      <c r="AE1720" s="452"/>
      <c r="AF1720" s="453"/>
    </row>
    <row r="1721" spans="1:32" s="20" customFormat="1" ht="12" customHeight="1">
      <c r="A1721" s="14"/>
      <c r="B1721" s="164"/>
      <c r="C1721" s="164"/>
      <c r="D1721" s="164"/>
      <c r="E1721" s="164"/>
      <c r="F1721" s="164"/>
      <c r="G1721" s="164"/>
      <c r="H1721" s="164"/>
      <c r="I1721" s="164"/>
      <c r="J1721" s="164"/>
      <c r="K1721" s="164"/>
      <c r="L1721" s="164"/>
      <c r="M1721" s="164"/>
      <c r="N1721" s="164"/>
      <c r="O1721" s="164"/>
      <c r="P1721" s="164"/>
      <c r="Q1721" s="164"/>
      <c r="R1721" s="164"/>
      <c r="S1721" s="164"/>
      <c r="T1721" s="46"/>
      <c r="U1721" s="46"/>
      <c r="V1721" s="27"/>
    </row>
    <row r="1722" spans="1:32" s="20" customFormat="1" ht="30.75" customHeight="1">
      <c r="A1722" s="14"/>
      <c r="B1722" s="980" t="s">
        <v>516</v>
      </c>
      <c r="C1722" s="46"/>
      <c r="D1722" s="46"/>
      <c r="E1722" s="46"/>
      <c r="F1722" s="46"/>
      <c r="G1722" s="46"/>
      <c r="H1722" s="46"/>
      <c r="I1722" s="46"/>
      <c r="J1722" s="46"/>
      <c r="K1722" s="46"/>
      <c r="L1722" s="46"/>
      <c r="M1722" s="46"/>
      <c r="N1722" s="46"/>
      <c r="O1722" s="46"/>
      <c r="P1722" s="46"/>
      <c r="Q1722" s="46"/>
      <c r="R1722" s="46"/>
      <c r="S1722" s="46"/>
      <c r="T1722" s="981"/>
      <c r="U1722" s="981"/>
    </row>
    <row r="1723" spans="1:32" s="20" customFormat="1" ht="15" customHeight="1">
      <c r="A1723" s="14"/>
      <c r="B1723" s="46"/>
      <c r="C1723" s="46"/>
      <c r="D1723" s="46"/>
      <c r="E1723" s="46"/>
      <c r="F1723" s="46"/>
      <c r="G1723" s="46"/>
      <c r="H1723" s="46"/>
      <c r="I1723" s="46"/>
      <c r="J1723" s="46"/>
      <c r="K1723" s="46"/>
      <c r="L1723" s="46"/>
      <c r="M1723" s="46"/>
      <c r="N1723" s="46"/>
      <c r="O1723" s="46"/>
      <c r="P1723" s="46"/>
      <c r="Q1723" s="46"/>
      <c r="R1723" s="46"/>
      <c r="S1723" s="46"/>
      <c r="T1723" s="46"/>
      <c r="U1723" s="46"/>
      <c r="V1723" s="27"/>
    </row>
    <row r="1724" spans="1:32" s="20" customFormat="1" ht="24" customHeight="1">
      <c r="A1724" s="25"/>
      <c r="B1724" s="505" t="s">
        <v>517</v>
      </c>
      <c r="C1724" s="491" t="s">
        <v>273</v>
      </c>
      <c r="D1724" s="491"/>
      <c r="E1724" s="491"/>
      <c r="F1724" s="491"/>
      <c r="G1724" s="491"/>
      <c r="H1724" s="491"/>
      <c r="I1724" s="491"/>
      <c r="J1724" s="491"/>
      <c r="K1724" s="491"/>
      <c r="L1724" s="491"/>
      <c r="M1724" s="491"/>
      <c r="N1724" s="491"/>
      <c r="O1724" s="491"/>
      <c r="P1724" s="491"/>
      <c r="Q1724" s="491"/>
      <c r="R1724" s="491"/>
      <c r="S1724" s="491"/>
      <c r="T1724" s="491"/>
      <c r="U1724" s="491"/>
      <c r="V1724" s="27"/>
    </row>
    <row r="1725" spans="1:32" s="20" customFormat="1" ht="71.25" customHeight="1">
      <c r="A1725" s="25"/>
      <c r="C1725" s="313" t="str">
        <f>"Ekuitas per "&amp;'[1]2.ISIAN DATA SKPD'!D8&amp;" dan "&amp;'[1]2.ISIAN DATA SKPD'!D12&amp;" adalah masing-masing sebesar Rp. "&amp;FIXED('[1]4.NERACA'!I210)&amp;" dan Rp. "&amp;FIXED('[1]4.NERACA'!D209)&amp;" mengalami kenaikan/penurunan sebesar Rp. "&amp;FIXED('[1]4.NERACA'!K210)&amp;" atau sebesar "&amp;FIXED('[1]4.NERACA'!J210)&amp;"% dari tahun "&amp;'[1]2.ISIAN DATA SKPD'!D12&amp;"."</f>
        <v>Ekuitas per 31 Desember 2017 dan 2016 adalah masing-masing sebesar Rp. 934,528,689,327.03 dan Rp. 0.00 mengalami kenaikan/penurunan sebesar Rp. 934,528,689,327.03 atau sebesar 3.02% dari tahun 2016.</v>
      </c>
      <c r="D1725" s="313"/>
      <c r="E1725" s="313"/>
      <c r="F1725" s="313"/>
      <c r="G1725" s="313"/>
      <c r="H1725" s="313"/>
      <c r="I1725" s="313"/>
      <c r="J1725" s="313"/>
      <c r="K1725" s="313"/>
      <c r="L1725" s="313"/>
      <c r="M1725" s="313"/>
      <c r="N1725" s="313"/>
      <c r="O1725" s="313"/>
      <c r="P1725" s="313"/>
      <c r="Q1725" s="313"/>
      <c r="R1725" s="313"/>
      <c r="S1725" s="313"/>
      <c r="T1725" s="313"/>
      <c r="U1725" s="313"/>
      <c r="V1725" s="27"/>
    </row>
    <row r="1726" spans="1:32" s="20" customFormat="1" ht="45.75" customHeight="1">
      <c r="A1726" s="25"/>
      <c r="C1726" s="313" t="s">
        <v>518</v>
      </c>
      <c r="D1726" s="313"/>
      <c r="E1726" s="313"/>
      <c r="F1726" s="313"/>
      <c r="G1726" s="313"/>
      <c r="H1726" s="313"/>
      <c r="I1726" s="313"/>
      <c r="J1726" s="313"/>
      <c r="K1726" s="313"/>
      <c r="L1726" s="313"/>
      <c r="M1726" s="313"/>
      <c r="N1726" s="313"/>
      <c r="O1726" s="313"/>
      <c r="P1726" s="313"/>
      <c r="Q1726" s="313"/>
      <c r="R1726" s="313"/>
      <c r="S1726" s="313"/>
      <c r="T1726" s="313"/>
      <c r="U1726" s="313"/>
      <c r="V1726" s="27"/>
    </row>
    <row r="1727" spans="1:32" s="20" customFormat="1" ht="21.75" customHeight="1">
      <c r="A1727" s="25"/>
      <c r="C1727" s="285"/>
      <c r="D1727" s="285"/>
      <c r="E1727" s="285"/>
      <c r="F1727" s="285"/>
      <c r="G1727" s="285"/>
      <c r="H1727" s="285"/>
      <c r="I1727" s="285"/>
      <c r="J1727" s="285"/>
      <c r="K1727" s="285"/>
      <c r="L1727" s="285"/>
      <c r="M1727" s="285"/>
      <c r="N1727" s="285"/>
      <c r="O1727" s="285"/>
      <c r="P1727" s="285"/>
      <c r="Q1727" s="285"/>
      <c r="R1727" s="285"/>
      <c r="S1727" s="285"/>
      <c r="T1727" s="285"/>
      <c r="U1727" s="285"/>
      <c r="V1727" s="27"/>
    </row>
    <row r="1728" spans="1:32" s="20" customFormat="1" ht="28.5" customHeight="1">
      <c r="A1728" s="25"/>
      <c r="B1728" s="8" t="s">
        <v>519</v>
      </c>
      <c r="C1728" s="764" t="s">
        <v>520</v>
      </c>
      <c r="D1728" s="764"/>
      <c r="E1728" s="764"/>
      <c r="F1728" s="764"/>
      <c r="G1728" s="764"/>
      <c r="H1728" s="764"/>
      <c r="I1728" s="764"/>
      <c r="J1728" s="764"/>
      <c r="K1728" s="764"/>
      <c r="L1728" s="764"/>
      <c r="M1728" s="764"/>
      <c r="N1728" s="764"/>
      <c r="O1728" s="764"/>
      <c r="P1728" s="764"/>
      <c r="Q1728" s="764"/>
      <c r="R1728" s="764"/>
      <c r="S1728" s="764"/>
      <c r="T1728" s="764"/>
      <c r="U1728" s="764"/>
      <c r="V1728" s="27"/>
    </row>
    <row r="1729" spans="1:22" s="20" customFormat="1" ht="69" customHeight="1">
      <c r="A1729" s="14"/>
      <c r="C1729" s="313" t="str">
        <f>"Laporan  Operasional  menyediakan  informasi  mengenai  seluruh kegiatan  operasional keuangan pada "&amp;'[1]2.ISIAN DATA SKPD'!D2&amp;" yang tercermin dalam pendapatan LO, beban dan surplus/defisit operasional."</f>
        <v>Laporan  Operasional  menyediakan  informasi  mengenai  seluruh kegiatan  operasional keuangan pada Dinas Pekerjaan Umum dan Penataan Ruang yang tercermin dalam pendapatan LO, beban dan surplus/defisit operasional.</v>
      </c>
      <c r="D1729" s="313"/>
      <c r="E1729" s="313"/>
      <c r="F1729" s="313"/>
      <c r="G1729" s="313"/>
      <c r="H1729" s="313"/>
      <c r="I1729" s="313"/>
      <c r="J1729" s="313"/>
      <c r="K1729" s="313"/>
      <c r="L1729" s="313"/>
      <c r="M1729" s="313"/>
      <c r="N1729" s="313"/>
      <c r="O1729" s="313"/>
      <c r="P1729" s="313"/>
      <c r="Q1729" s="313"/>
      <c r="R1729" s="313"/>
      <c r="S1729" s="313"/>
      <c r="T1729" s="313"/>
      <c r="U1729" s="313"/>
      <c r="V1729" s="27"/>
    </row>
    <row r="1730" spans="1:22" s="20" customFormat="1" ht="26.25" customHeight="1">
      <c r="A1730" s="14"/>
      <c r="B1730" s="406" t="s">
        <v>521</v>
      </c>
      <c r="C1730" s="491" t="s">
        <v>522</v>
      </c>
      <c r="D1730" s="491"/>
      <c r="E1730" s="491"/>
      <c r="F1730" s="491"/>
      <c r="G1730" s="491"/>
      <c r="H1730" s="491"/>
      <c r="I1730" s="491"/>
      <c r="J1730" s="491"/>
      <c r="K1730" s="491"/>
      <c r="L1730" s="491"/>
      <c r="M1730" s="491"/>
      <c r="N1730" s="491"/>
      <c r="O1730" s="491"/>
      <c r="P1730" s="491"/>
      <c r="Q1730" s="491"/>
      <c r="R1730" s="491"/>
      <c r="S1730" s="491"/>
      <c r="T1730" s="491"/>
      <c r="U1730" s="491"/>
      <c r="V1730" s="27"/>
    </row>
    <row r="1731" spans="1:22" s="20" customFormat="1" ht="60" customHeight="1">
      <c r="A1731" s="14"/>
      <c r="B1731" s="982"/>
      <c r="C1731" s="313" t="str">
        <f>"Pendapatan-LO adalah hak "&amp;'[1]2.ISIAN DATA SKPD'!D2&amp;" yang diakui sebagai penambahan kekayaan bersih yang tidak perlu dibayar kembali periode Tahun Anggaran "&amp;'[1]2.ISIAN DATA SKPD'!D11&amp;", dengan realisasi dalam TA "&amp;'[1]2.ISIAN DATA SKPD'!D11&amp;" dan "&amp;'[1]2.ISIAN DATA SKPD'!D12&amp;" sebagai berikut :"</f>
        <v>Pendapatan-LO adalah hak Dinas Pekerjaan Umum dan Penataan Ruang yang diakui sebagai penambahan kekayaan bersih yang tidak perlu dibayar kembali periode Tahun Anggaran 2017, dengan realisasi dalam TA 2017 dan 2016 sebagai berikut :</v>
      </c>
      <c r="D1731" s="313"/>
      <c r="E1731" s="313"/>
      <c r="F1731" s="313"/>
      <c r="G1731" s="313"/>
      <c r="H1731" s="313"/>
      <c r="I1731" s="313"/>
      <c r="J1731" s="313"/>
      <c r="K1731" s="313"/>
      <c r="L1731" s="313"/>
      <c r="M1731" s="313"/>
      <c r="N1731" s="313"/>
      <c r="O1731" s="313"/>
      <c r="P1731" s="313"/>
      <c r="Q1731" s="313"/>
      <c r="R1731" s="313"/>
      <c r="S1731" s="313"/>
      <c r="T1731" s="313"/>
      <c r="U1731" s="313"/>
      <c r="V1731" s="27"/>
    </row>
    <row r="1732" spans="1:22" s="20" customFormat="1" ht="84" customHeight="1">
      <c r="A1732" s="14"/>
      <c r="B1732" s="37"/>
      <c r="C1732" s="313" t="str">
        <f>"Realisasi Pendapatan-LO  Tahun Anggaran "&amp;'[1]2.ISIAN DATA SKPD'!D11&amp;" dan Tahun "&amp;'[1]2.ISIAN DATA SKPD'!D12&amp;", adalah masing-masing sebesar "&amp;FIXED(G1739)&amp;" dan "&amp;FIXED(M1739)&amp;". Bila dibandingkan dengan tahun "&amp;'[1]2.ISIAN DATA SKPD'!D12&amp;" mengalami  Penurunan sebesar Rp"&amp;FIXED('[1]5.LO'!H445)&amp;" atau "&amp;FIXED('[1]5.LO'!G445)&amp;" %"</f>
        <v>Realisasi Pendapatan-LO  Tahun Anggaran 2017 dan Tahun 2016, adalah masing-masing sebesar 534,830,700.00 dan 1,043,240,650.00. Bila dibandingkan dengan tahun 2016 mengalami  Penurunan sebesar Rp-74,584,351,294.76 atau 136.49 %</v>
      </c>
      <c r="D1732" s="313"/>
      <c r="E1732" s="313"/>
      <c r="F1732" s="313"/>
      <c r="G1732" s="313"/>
      <c r="H1732" s="313"/>
      <c r="I1732" s="313"/>
      <c r="J1732" s="313"/>
      <c r="K1732" s="313"/>
      <c r="L1732" s="313"/>
      <c r="M1732" s="313"/>
      <c r="N1732" s="313"/>
      <c r="O1732" s="313"/>
      <c r="P1732" s="313"/>
      <c r="Q1732" s="313"/>
      <c r="R1732" s="313"/>
      <c r="S1732" s="313"/>
      <c r="T1732" s="313"/>
      <c r="U1732" s="313"/>
      <c r="V1732" s="27"/>
    </row>
    <row r="1733" spans="1:22" s="20" customFormat="1" ht="12.75" customHeight="1">
      <c r="A1733" s="14"/>
      <c r="B1733" s="37"/>
      <c r="C1733" s="37"/>
      <c r="D1733" s="37"/>
      <c r="E1733" s="37"/>
      <c r="F1733" s="37"/>
      <c r="G1733" s="37"/>
      <c r="H1733" s="37"/>
      <c r="I1733" s="37"/>
      <c r="J1733" s="37"/>
      <c r="K1733" s="37"/>
      <c r="L1733" s="37"/>
      <c r="M1733" s="37"/>
      <c r="N1733" s="37"/>
      <c r="O1733" s="37"/>
      <c r="P1733" s="37"/>
      <c r="Q1733" s="37"/>
      <c r="R1733" s="37"/>
      <c r="S1733" s="37"/>
      <c r="T1733" s="37"/>
      <c r="U1733" s="37"/>
      <c r="V1733" s="27"/>
    </row>
    <row r="1734" spans="1:22" s="20" customFormat="1" ht="32.25" customHeight="1">
      <c r="A1734" s="42"/>
      <c r="C1734" s="386" t="str">
        <f>"Rincian Pendapatan Tahun "&amp;'[1]2.ISIAN DATA SKPD'!D11&amp;" dan "&amp;'[1]2.ISIAN DATA SKPD'!D12&amp;""</f>
        <v>Rincian Pendapatan Tahun 2017 dan 2016</v>
      </c>
      <c r="D1734" s="386"/>
      <c r="E1734" s="386"/>
      <c r="F1734" s="386"/>
      <c r="G1734" s="386"/>
      <c r="H1734" s="386"/>
      <c r="I1734" s="386"/>
      <c r="J1734" s="386"/>
      <c r="K1734" s="386"/>
      <c r="L1734" s="386"/>
      <c r="M1734" s="386"/>
      <c r="N1734" s="386"/>
      <c r="O1734" s="386"/>
      <c r="P1734" s="386"/>
      <c r="Q1734" s="386"/>
      <c r="R1734" s="386"/>
      <c r="S1734" s="386"/>
      <c r="T1734" s="386"/>
      <c r="U1734" s="386"/>
      <c r="V1734" s="27"/>
    </row>
    <row r="1735" spans="1:22" s="20" customFormat="1" ht="23.25" customHeight="1">
      <c r="A1735" s="303" t="s">
        <v>84</v>
      </c>
      <c r="B1735" s="304"/>
      <c r="C1735" s="304"/>
      <c r="D1735" s="304"/>
      <c r="E1735" s="304"/>
      <c r="F1735" s="305"/>
      <c r="G1735" s="132" t="str">
        <f>"TA "&amp;'[1]2.ISIAN DATA SKPD'!D11&amp;""</f>
        <v>TA 2017</v>
      </c>
      <c r="H1735" s="132"/>
      <c r="I1735" s="132"/>
      <c r="J1735" s="132"/>
      <c r="K1735" s="132"/>
      <c r="L1735" s="132"/>
      <c r="M1735" s="132" t="str">
        <f>"TA "&amp;'[1]2.ISIAN DATA SKPD'!D12&amp;""</f>
        <v>TA 2016</v>
      </c>
      <c r="N1735" s="132"/>
      <c r="O1735" s="132"/>
      <c r="P1735" s="132"/>
      <c r="Q1735" s="132"/>
      <c r="R1735" s="132"/>
      <c r="S1735" s="132" t="s">
        <v>118</v>
      </c>
      <c r="T1735" s="132"/>
      <c r="U1735" s="132"/>
      <c r="V1735" s="27"/>
    </row>
    <row r="1736" spans="1:22" s="20" customFormat="1" ht="18.75" customHeight="1">
      <c r="A1736" s="294" t="s">
        <v>523</v>
      </c>
      <c r="B1736" s="295"/>
      <c r="C1736" s="295"/>
      <c r="D1736" s="295"/>
      <c r="E1736" s="295"/>
      <c r="F1736" s="296"/>
      <c r="G1736" s="940">
        <f>'[1]5.LO'!E7</f>
        <v>534830700</v>
      </c>
      <c r="H1736" s="941"/>
      <c r="I1736" s="941"/>
      <c r="J1736" s="941"/>
      <c r="K1736" s="941"/>
      <c r="L1736" s="941"/>
      <c r="M1736" s="940">
        <f>'[1]5.LO'!F7</f>
        <v>1043240650</v>
      </c>
      <c r="N1736" s="941"/>
      <c r="O1736" s="941"/>
      <c r="P1736" s="941"/>
      <c r="Q1736" s="941"/>
      <c r="R1736" s="941"/>
      <c r="S1736" s="983">
        <f>(G1736-M1736)/M1736*100</f>
        <v>-48.733717383424427</v>
      </c>
      <c r="T1736" s="984"/>
      <c r="U1736" s="984"/>
      <c r="V1736" s="27"/>
    </row>
    <row r="1737" spans="1:22" s="20" customFormat="1" ht="18" customHeight="1">
      <c r="A1737" s="294" t="s">
        <v>524</v>
      </c>
      <c r="B1737" s="295"/>
      <c r="C1737" s="295"/>
      <c r="D1737" s="295"/>
      <c r="E1737" s="295"/>
      <c r="F1737" s="296"/>
      <c r="G1737" s="940">
        <f>'[1]5.LO'!E85</f>
        <v>0</v>
      </c>
      <c r="H1737" s="941"/>
      <c r="I1737" s="941"/>
      <c r="J1737" s="941"/>
      <c r="K1737" s="941"/>
      <c r="L1737" s="941"/>
      <c r="M1737" s="940">
        <f>'[1]5.LO'!F85</f>
        <v>0</v>
      </c>
      <c r="N1737" s="941"/>
      <c r="O1737" s="941"/>
      <c r="P1737" s="941"/>
      <c r="Q1737" s="941"/>
      <c r="R1737" s="941"/>
      <c r="S1737" s="983">
        <v>0</v>
      </c>
      <c r="T1737" s="984"/>
      <c r="U1737" s="984"/>
      <c r="V1737" s="27"/>
    </row>
    <row r="1738" spans="1:22" s="20" customFormat="1" ht="34.5" customHeight="1">
      <c r="A1738" s="294" t="s">
        <v>525</v>
      </c>
      <c r="B1738" s="295"/>
      <c r="C1738" s="295"/>
      <c r="D1738" s="295"/>
      <c r="E1738" s="295"/>
      <c r="F1738" s="296"/>
      <c r="G1738" s="940">
        <f>'[1]5.LO'!E134</f>
        <v>0</v>
      </c>
      <c r="H1738" s="941"/>
      <c r="I1738" s="941"/>
      <c r="J1738" s="941"/>
      <c r="K1738" s="941"/>
      <c r="L1738" s="941"/>
      <c r="M1738" s="940">
        <f>'[1]5.LO'!F134</f>
        <v>0</v>
      </c>
      <c r="N1738" s="941"/>
      <c r="O1738" s="941"/>
      <c r="P1738" s="941"/>
      <c r="Q1738" s="941"/>
      <c r="R1738" s="941"/>
      <c r="S1738" s="983">
        <v>0</v>
      </c>
      <c r="T1738" s="984"/>
      <c r="U1738" s="984"/>
      <c r="V1738" s="27"/>
    </row>
    <row r="1739" spans="1:22" s="20" customFormat="1" ht="29.25" customHeight="1">
      <c r="A1739" s="294" t="s">
        <v>143</v>
      </c>
      <c r="B1739" s="295"/>
      <c r="C1739" s="295"/>
      <c r="D1739" s="295"/>
      <c r="E1739" s="295"/>
      <c r="F1739" s="296"/>
      <c r="G1739" s="940">
        <f>G1736</f>
        <v>534830700</v>
      </c>
      <c r="H1739" s="941"/>
      <c r="I1739" s="941"/>
      <c r="J1739" s="941"/>
      <c r="K1739" s="941"/>
      <c r="L1739" s="941"/>
      <c r="M1739" s="940">
        <f>M1736</f>
        <v>1043240650</v>
      </c>
      <c r="N1739" s="941"/>
      <c r="O1739" s="941"/>
      <c r="P1739" s="941"/>
      <c r="Q1739" s="941"/>
      <c r="R1739" s="941"/>
      <c r="S1739" s="983">
        <f>(G1739-M1739)/M1739*100</f>
        <v>-48.733717383424427</v>
      </c>
      <c r="T1739" s="984"/>
      <c r="U1739" s="984"/>
      <c r="V1739" s="27"/>
    </row>
    <row r="1740" spans="1:22" s="20" customFormat="1" ht="22.5" customHeight="1">
      <c r="A1740" s="25"/>
      <c r="C1740" s="126"/>
      <c r="D1740" s="126"/>
      <c r="E1740" s="126"/>
      <c r="F1740" s="126"/>
      <c r="G1740" s="126"/>
      <c r="H1740" s="126"/>
      <c r="I1740" s="126"/>
      <c r="J1740" s="126"/>
      <c r="K1740" s="483"/>
      <c r="L1740" s="483"/>
      <c r="M1740" s="483"/>
      <c r="N1740" s="483"/>
      <c r="O1740" s="483"/>
      <c r="P1740" s="483"/>
      <c r="Q1740" s="483"/>
      <c r="R1740" s="814"/>
      <c r="S1740" s="814"/>
      <c r="T1740" s="128"/>
      <c r="U1740" s="128"/>
      <c r="V1740" s="27"/>
    </row>
    <row r="1741" spans="1:22" s="20" customFormat="1" ht="48" customHeight="1">
      <c r="A1741" s="14"/>
      <c r="B1741" s="164"/>
      <c r="C1741" s="313" t="str">
        <f>"Realisasi masing-masing pendapatan – LO "&amp;'[1]2.ISIAN DATA SKPD'!D2&amp;" Kabupaten Wonosobo dapat dijelaskan sebagai berikut : "</f>
        <v xml:space="preserve">Realisasi masing-masing pendapatan – LO Dinas Pekerjaan Umum dan Penataan Ruang Kabupaten Wonosobo dapat dijelaskan sebagai berikut : </v>
      </c>
      <c r="D1741" s="313"/>
      <c r="E1741" s="313"/>
      <c r="F1741" s="313"/>
      <c r="G1741" s="313"/>
      <c r="H1741" s="313"/>
      <c r="I1741" s="313"/>
      <c r="J1741" s="313"/>
      <c r="K1741" s="313"/>
      <c r="L1741" s="313"/>
      <c r="M1741" s="313"/>
      <c r="N1741" s="313"/>
      <c r="O1741" s="313"/>
      <c r="P1741" s="313"/>
      <c r="Q1741" s="313"/>
      <c r="R1741" s="313"/>
      <c r="S1741" s="313"/>
      <c r="T1741" s="313"/>
      <c r="U1741" s="313"/>
      <c r="V1741" s="27"/>
    </row>
    <row r="1742" spans="1:22" s="20" customFormat="1" ht="21" customHeight="1">
      <c r="A1742" s="14"/>
      <c r="B1742" s="37"/>
      <c r="C1742" s="19" t="s">
        <v>119</v>
      </c>
      <c r="D1742" s="985" t="s">
        <v>526</v>
      </c>
      <c r="E1742" s="985"/>
      <c r="F1742" s="985"/>
      <c r="G1742" s="985"/>
      <c r="H1742" s="985"/>
      <c r="I1742" s="985"/>
      <c r="J1742" s="985"/>
      <c r="K1742" s="985"/>
      <c r="L1742" s="985"/>
      <c r="M1742" s="985"/>
      <c r="N1742" s="985"/>
      <c r="O1742" s="985"/>
      <c r="P1742" s="985"/>
      <c r="Q1742" s="985"/>
      <c r="R1742" s="985"/>
      <c r="S1742" s="985"/>
      <c r="T1742" s="985"/>
      <c r="U1742" s="985"/>
      <c r="V1742" s="27"/>
    </row>
    <row r="1743" spans="1:22" s="20" customFormat="1" ht="45" customHeight="1">
      <c r="A1743" s="14"/>
      <c r="B1743" s="37"/>
      <c r="D1743" s="313" t="str">
        <f>"Akun ini menggambarkan realisasi Pendapatan Asli Daerah (PAD) untuk periode Tahun Anggaran "&amp;'[1]2.ISIAN DATA SKPD'!D11&amp;"  dan "&amp;'[1]2.ISIAN DATA SKPD'!D12&amp;" dengan rincian jumlah PAD sebagai berikut :"</f>
        <v>Akun ini menggambarkan realisasi Pendapatan Asli Daerah (PAD) untuk periode Tahun Anggaran 2017  dan 2016 dengan rincian jumlah PAD sebagai berikut :</v>
      </c>
      <c r="E1743" s="313"/>
      <c r="F1743" s="313"/>
      <c r="G1743" s="313"/>
      <c r="H1743" s="313"/>
      <c r="I1743" s="313"/>
      <c r="J1743" s="313"/>
      <c r="K1743" s="313"/>
      <c r="L1743" s="313"/>
      <c r="M1743" s="313"/>
      <c r="N1743" s="313"/>
      <c r="O1743" s="313"/>
      <c r="P1743" s="313"/>
      <c r="Q1743" s="313"/>
      <c r="R1743" s="313"/>
      <c r="S1743" s="313"/>
      <c r="T1743" s="313"/>
      <c r="U1743" s="313"/>
      <c r="V1743" s="27"/>
    </row>
    <row r="1744" spans="1:22" s="20" customFormat="1" ht="17.25" customHeight="1">
      <c r="A1744" s="14"/>
      <c r="B1744" s="37"/>
      <c r="D1744" s="882"/>
      <c r="E1744" s="882"/>
      <c r="F1744" s="882"/>
      <c r="G1744" s="882"/>
      <c r="H1744" s="882"/>
      <c r="I1744" s="882"/>
      <c r="J1744" s="882"/>
      <c r="K1744" s="882"/>
      <c r="L1744" s="882"/>
      <c r="M1744" s="882"/>
      <c r="N1744" s="882"/>
      <c r="O1744" s="882"/>
      <c r="P1744" s="882"/>
      <c r="Q1744" s="882"/>
      <c r="R1744" s="882"/>
      <c r="S1744" s="882"/>
      <c r="T1744" s="882"/>
      <c r="U1744" s="882"/>
      <c r="V1744" s="27"/>
    </row>
    <row r="1745" spans="1:22" s="20" customFormat="1" ht="21.75" customHeight="1">
      <c r="A1745" s="411" t="s">
        <v>84</v>
      </c>
      <c r="B1745" s="454"/>
      <c r="C1745" s="454"/>
      <c r="D1745" s="454"/>
      <c r="E1745" s="454"/>
      <c r="F1745" s="454"/>
      <c r="G1745" s="454"/>
      <c r="H1745" s="454"/>
      <c r="I1745" s="455"/>
      <c r="J1745" s="986" t="str">
        <f>"TA "&amp;'[1]2.ISIAN DATA SKPD'!D11&amp;""</f>
        <v>TA 2017</v>
      </c>
      <c r="K1745" s="986"/>
      <c r="L1745" s="986"/>
      <c r="M1745" s="986"/>
      <c r="N1745" s="986"/>
      <c r="O1745" s="986"/>
      <c r="P1745" s="986" t="str">
        <f>"TA "&amp;'[1]2.ISIAN DATA SKPD'!D12&amp;""</f>
        <v>TA 2016</v>
      </c>
      <c r="Q1745" s="986"/>
      <c r="R1745" s="986"/>
      <c r="S1745" s="986"/>
      <c r="T1745" s="986"/>
      <c r="U1745" s="986"/>
      <c r="V1745" s="27"/>
    </row>
    <row r="1746" spans="1:22" s="20" customFormat="1" ht="21.75" customHeight="1">
      <c r="A1746" s="294" t="s">
        <v>527</v>
      </c>
      <c r="B1746" s="295"/>
      <c r="C1746" s="295"/>
      <c r="D1746" s="295"/>
      <c r="E1746" s="295"/>
      <c r="F1746" s="295"/>
      <c r="G1746" s="295"/>
      <c r="H1746" s="295"/>
      <c r="I1746" s="296"/>
      <c r="J1746" s="663">
        <f>'[1]5.LO'!E8</f>
        <v>0</v>
      </c>
      <c r="K1746" s="663"/>
      <c r="L1746" s="663"/>
      <c r="M1746" s="663"/>
      <c r="N1746" s="663"/>
      <c r="O1746" s="663"/>
      <c r="P1746" s="663">
        <f>'[1]5.LO'!F8</f>
        <v>0</v>
      </c>
      <c r="Q1746" s="663"/>
      <c r="R1746" s="663"/>
      <c r="S1746" s="663"/>
      <c r="T1746" s="663"/>
      <c r="U1746" s="663"/>
      <c r="V1746" s="27"/>
    </row>
    <row r="1747" spans="1:22" s="20" customFormat="1" ht="18" customHeight="1">
      <c r="A1747" s="294" t="s">
        <v>528</v>
      </c>
      <c r="B1747" s="295"/>
      <c r="C1747" s="295"/>
      <c r="D1747" s="295"/>
      <c r="E1747" s="295"/>
      <c r="F1747" s="295"/>
      <c r="G1747" s="295"/>
      <c r="H1747" s="295"/>
      <c r="I1747" s="296"/>
      <c r="J1747" s="663">
        <f>'[1]5.LO'!E19</f>
        <v>188721200</v>
      </c>
      <c r="K1747" s="663"/>
      <c r="L1747" s="663"/>
      <c r="M1747" s="663"/>
      <c r="N1747" s="663"/>
      <c r="O1747" s="663"/>
      <c r="P1747" s="663">
        <f>'[1]5.LO'!F19</f>
        <v>319875000</v>
      </c>
      <c r="Q1747" s="663"/>
      <c r="R1747" s="663"/>
      <c r="S1747" s="663"/>
      <c r="T1747" s="663"/>
      <c r="U1747" s="663"/>
      <c r="V1747" s="27"/>
    </row>
    <row r="1748" spans="1:22" s="20" customFormat="1" ht="31.5" customHeight="1">
      <c r="A1748" s="294" t="s">
        <v>529</v>
      </c>
      <c r="B1748" s="295"/>
      <c r="C1748" s="295"/>
      <c r="D1748" s="295"/>
      <c r="E1748" s="295"/>
      <c r="F1748" s="295"/>
      <c r="G1748" s="295"/>
      <c r="H1748" s="295"/>
      <c r="I1748" s="296"/>
      <c r="J1748" s="663">
        <f>'[1]5.LO'!E40</f>
        <v>0</v>
      </c>
      <c r="K1748" s="663"/>
      <c r="L1748" s="663"/>
      <c r="M1748" s="663"/>
      <c r="N1748" s="663"/>
      <c r="O1748" s="663"/>
      <c r="P1748" s="663">
        <f>'[1]5.LO'!F40</f>
        <v>0</v>
      </c>
      <c r="Q1748" s="663"/>
      <c r="R1748" s="663"/>
      <c r="S1748" s="663"/>
      <c r="T1748" s="663"/>
      <c r="U1748" s="663"/>
      <c r="V1748" s="27"/>
    </row>
    <row r="1749" spans="1:22" s="20" customFormat="1" ht="18" customHeight="1">
      <c r="A1749" s="294" t="s">
        <v>530</v>
      </c>
      <c r="B1749" s="295"/>
      <c r="C1749" s="295"/>
      <c r="D1749" s="295"/>
      <c r="E1749" s="295"/>
      <c r="F1749" s="295"/>
      <c r="G1749" s="295"/>
      <c r="H1749" s="295"/>
      <c r="I1749" s="296"/>
      <c r="J1749" s="663">
        <f>'[1]5.LO'!E51</f>
        <v>346109500</v>
      </c>
      <c r="K1749" s="663"/>
      <c r="L1749" s="663"/>
      <c r="M1749" s="663"/>
      <c r="N1749" s="663"/>
      <c r="O1749" s="663"/>
      <c r="P1749" s="663">
        <f>'[1]5.LO'!F51</f>
        <v>723365650</v>
      </c>
      <c r="Q1749" s="663"/>
      <c r="R1749" s="663"/>
      <c r="S1749" s="663"/>
      <c r="T1749" s="663"/>
      <c r="U1749" s="663"/>
      <c r="V1749" s="27"/>
    </row>
    <row r="1750" spans="1:22" s="20" customFormat="1" ht="18" customHeight="1">
      <c r="A1750" s="294" t="s">
        <v>143</v>
      </c>
      <c r="B1750" s="295"/>
      <c r="C1750" s="295"/>
      <c r="D1750" s="295"/>
      <c r="E1750" s="295"/>
      <c r="F1750" s="295"/>
      <c r="G1750" s="295"/>
      <c r="H1750" s="295"/>
      <c r="I1750" s="296"/>
      <c r="J1750" s="663">
        <f>SUM(J1746:O1749)</f>
        <v>534830700</v>
      </c>
      <c r="K1750" s="663"/>
      <c r="L1750" s="663"/>
      <c r="M1750" s="663"/>
      <c r="N1750" s="663"/>
      <c r="O1750" s="663"/>
      <c r="P1750" s="663">
        <f>SUM(P1746:U1749)</f>
        <v>1043240650</v>
      </c>
      <c r="Q1750" s="663"/>
      <c r="R1750" s="663"/>
      <c r="S1750" s="663"/>
      <c r="T1750" s="663"/>
      <c r="U1750" s="663"/>
      <c r="V1750" s="27"/>
    </row>
    <row r="1751" spans="1:22" s="20" customFormat="1" ht="18" customHeight="1">
      <c r="A1751" s="14"/>
      <c r="B1751" s="37"/>
      <c r="V1751" s="27"/>
    </row>
    <row r="1752" spans="1:22" s="20" customFormat="1" ht="38.25" customHeight="1">
      <c r="A1752" s="14"/>
      <c r="B1752" s="37"/>
      <c r="C1752" s="37"/>
      <c r="D1752" s="568" t="str">
        <f>"Adapun rincian Pendapatan Asli Daerah per "&amp;'[1]2.ISIAN DATA SKPD'!D8&amp;" sebagaimana berikut :"</f>
        <v>Adapun rincian Pendapatan Asli Daerah per 31 Desember 2017 sebagaimana berikut :</v>
      </c>
      <c r="E1752" s="568"/>
      <c r="F1752" s="568"/>
      <c r="G1752" s="568"/>
      <c r="H1752" s="568"/>
      <c r="I1752" s="568"/>
      <c r="J1752" s="568"/>
      <c r="K1752" s="568"/>
      <c r="L1752" s="568"/>
      <c r="M1752" s="568"/>
      <c r="N1752" s="568"/>
      <c r="O1752" s="568"/>
      <c r="P1752" s="568"/>
      <c r="Q1752" s="568"/>
      <c r="R1752" s="568"/>
      <c r="S1752" s="568"/>
      <c r="T1752" s="568"/>
      <c r="U1752" s="568"/>
      <c r="V1752" s="27"/>
    </row>
    <row r="1753" spans="1:22" s="20" customFormat="1" ht="18" customHeight="1">
      <c r="A1753" s="14"/>
      <c r="B1753" s="37"/>
      <c r="C1753" s="37"/>
      <c r="D1753" s="987" t="s">
        <v>147</v>
      </c>
      <c r="E1753" s="988" t="s">
        <v>531</v>
      </c>
      <c r="F1753" s="988"/>
      <c r="G1753" s="988"/>
      <c r="H1753" s="988"/>
      <c r="I1753" s="988"/>
      <c r="J1753" s="988"/>
      <c r="K1753" s="988"/>
      <c r="L1753" s="988"/>
      <c r="M1753" s="988"/>
      <c r="N1753" s="988"/>
      <c r="O1753" s="989"/>
      <c r="P1753" s="297" t="s">
        <v>143</v>
      </c>
      <c r="Q1753" s="298"/>
      <c r="R1753" s="298"/>
      <c r="S1753" s="298"/>
      <c r="T1753" s="298"/>
      <c r="U1753" s="299"/>
      <c r="V1753" s="27"/>
    </row>
    <row r="1754" spans="1:22" s="20" customFormat="1" ht="18" customHeight="1">
      <c r="A1754" s="14"/>
      <c r="B1754" s="37"/>
      <c r="C1754" s="37"/>
      <c r="D1754" s="987">
        <v>1</v>
      </c>
      <c r="E1754" s="990" t="s">
        <v>532</v>
      </c>
      <c r="F1754" s="990"/>
      <c r="G1754" s="991"/>
      <c r="H1754" s="992"/>
      <c r="I1754" s="992"/>
      <c r="J1754" s="992"/>
      <c r="K1754" s="992"/>
      <c r="L1754" s="992"/>
      <c r="M1754" s="991"/>
      <c r="N1754" s="992"/>
      <c r="O1754" s="993"/>
      <c r="P1754" s="994">
        <f>'[1]5.LO'!E8</f>
        <v>0</v>
      </c>
      <c r="Q1754" s="995"/>
      <c r="R1754" s="995"/>
      <c r="S1754" s="995"/>
      <c r="T1754" s="995"/>
      <c r="U1754" s="996"/>
      <c r="V1754" s="27"/>
    </row>
    <row r="1755" spans="1:22" s="20" customFormat="1" ht="18" customHeight="1">
      <c r="A1755" s="14"/>
      <c r="B1755" s="37"/>
      <c r="C1755" s="37"/>
      <c r="D1755" s="987"/>
      <c r="E1755" s="997" t="s">
        <v>148</v>
      </c>
      <c r="F1755" s="998"/>
      <c r="G1755" s="998"/>
      <c r="H1755" s="999"/>
      <c r="I1755" s="999"/>
      <c r="J1755" s="999"/>
      <c r="K1755" s="999"/>
      <c r="L1755" s="999"/>
      <c r="M1755" s="998"/>
      <c r="N1755" s="999"/>
      <c r="O1755" s="1000"/>
      <c r="P1755" s="940">
        <f>'[1]5.LO'!E9</f>
        <v>0</v>
      </c>
      <c r="Q1755" s="941"/>
      <c r="R1755" s="941"/>
      <c r="S1755" s="941"/>
      <c r="T1755" s="941"/>
      <c r="U1755" s="942"/>
      <c r="V1755" s="27"/>
    </row>
    <row r="1756" spans="1:22" s="20" customFormat="1" ht="18" customHeight="1">
      <c r="A1756" s="14"/>
      <c r="B1756" s="37"/>
      <c r="C1756" s="37"/>
      <c r="D1756" s="987"/>
      <c r="E1756" s="997" t="s">
        <v>149</v>
      </c>
      <c r="F1756" s="998"/>
      <c r="G1756" s="998"/>
      <c r="H1756" s="999"/>
      <c r="I1756" s="999"/>
      <c r="J1756" s="999"/>
      <c r="K1756" s="999"/>
      <c r="L1756" s="999"/>
      <c r="M1756" s="998"/>
      <c r="N1756" s="999"/>
      <c r="O1756" s="1000"/>
      <c r="P1756" s="940">
        <f>'[1]5.LO'!E10</f>
        <v>0</v>
      </c>
      <c r="Q1756" s="941"/>
      <c r="R1756" s="941"/>
      <c r="S1756" s="941"/>
      <c r="T1756" s="941"/>
      <c r="U1756" s="942"/>
      <c r="V1756" s="27"/>
    </row>
    <row r="1757" spans="1:22" s="20" customFormat="1" ht="18" customHeight="1">
      <c r="A1757" s="14"/>
      <c r="B1757" s="37"/>
      <c r="C1757" s="37"/>
      <c r="D1757" s="987"/>
      <c r="E1757" s="997" t="s">
        <v>533</v>
      </c>
      <c r="F1757" s="998"/>
      <c r="G1757" s="998"/>
      <c r="H1757" s="999"/>
      <c r="I1757" s="999"/>
      <c r="J1757" s="999"/>
      <c r="K1757" s="999"/>
      <c r="L1757" s="999"/>
      <c r="M1757" s="998"/>
      <c r="N1757" s="999"/>
      <c r="O1757" s="1000"/>
      <c r="P1757" s="940">
        <f>'[1]5.LO'!E11</f>
        <v>0</v>
      </c>
      <c r="Q1757" s="941"/>
      <c r="R1757" s="941"/>
      <c r="S1757" s="941"/>
      <c r="T1757" s="941"/>
      <c r="U1757" s="942"/>
      <c r="V1757" s="27"/>
    </row>
    <row r="1758" spans="1:22" s="20" customFormat="1" ht="27.75" customHeight="1">
      <c r="A1758" s="14"/>
      <c r="B1758" s="37"/>
      <c r="C1758" s="37"/>
      <c r="D1758" s="987"/>
      <c r="E1758" s="997" t="s">
        <v>151</v>
      </c>
      <c r="F1758" s="998"/>
      <c r="G1758" s="998"/>
      <c r="H1758" s="999"/>
      <c r="I1758" s="999"/>
      <c r="J1758" s="999"/>
      <c r="K1758" s="999"/>
      <c r="L1758" s="999"/>
      <c r="M1758" s="998"/>
      <c r="N1758" s="999"/>
      <c r="O1758" s="1000"/>
      <c r="P1758" s="940">
        <f>'[1]5.LO'!E12</f>
        <v>0</v>
      </c>
      <c r="Q1758" s="941"/>
      <c r="R1758" s="941"/>
      <c r="S1758" s="941"/>
      <c r="T1758" s="941"/>
      <c r="U1758" s="942"/>
      <c r="V1758" s="27"/>
    </row>
    <row r="1759" spans="1:22" s="20" customFormat="1" ht="18" customHeight="1">
      <c r="A1759" s="14"/>
      <c r="B1759" s="37"/>
      <c r="C1759" s="37"/>
      <c r="D1759" s="987"/>
      <c r="E1759" s="997" t="s">
        <v>152</v>
      </c>
      <c r="F1759" s="998"/>
      <c r="G1759" s="998"/>
      <c r="H1759" s="999"/>
      <c r="I1759" s="999"/>
      <c r="J1759" s="999"/>
      <c r="K1759" s="999"/>
      <c r="L1759" s="999"/>
      <c r="M1759" s="998"/>
      <c r="N1759" s="999"/>
      <c r="O1759" s="1000"/>
      <c r="P1759" s="940">
        <f>'[1]5.LO'!E13</f>
        <v>0</v>
      </c>
      <c r="Q1759" s="941"/>
      <c r="R1759" s="941"/>
      <c r="S1759" s="941"/>
      <c r="T1759" s="941"/>
      <c r="U1759" s="942"/>
      <c r="V1759" s="27"/>
    </row>
    <row r="1760" spans="1:22" s="20" customFormat="1" ht="18" customHeight="1">
      <c r="A1760" s="14"/>
      <c r="B1760" s="37"/>
      <c r="C1760" s="37"/>
      <c r="D1760" s="987"/>
      <c r="E1760" s="997" t="s">
        <v>534</v>
      </c>
      <c r="F1760" s="998"/>
      <c r="G1760" s="998"/>
      <c r="H1760" s="999"/>
      <c r="I1760" s="999"/>
      <c r="J1760" s="999"/>
      <c r="K1760" s="999"/>
      <c r="L1760" s="999"/>
      <c r="M1760" s="998"/>
      <c r="N1760" s="999"/>
      <c r="O1760" s="1000"/>
      <c r="P1760" s="940">
        <f>'[1]5.LO'!E14</f>
        <v>0</v>
      </c>
      <c r="Q1760" s="941"/>
      <c r="R1760" s="941"/>
      <c r="S1760" s="941"/>
      <c r="T1760" s="941"/>
      <c r="U1760" s="942"/>
      <c r="V1760" s="27"/>
    </row>
    <row r="1761" spans="1:22" s="20" customFormat="1" ht="18" customHeight="1">
      <c r="A1761" s="14"/>
      <c r="B1761" s="37"/>
      <c r="C1761" s="37"/>
      <c r="D1761" s="987"/>
      <c r="E1761" s="997" t="s">
        <v>153</v>
      </c>
      <c r="F1761" s="998"/>
      <c r="G1761" s="998"/>
      <c r="H1761" s="999"/>
      <c r="I1761" s="999"/>
      <c r="J1761" s="999"/>
      <c r="K1761" s="999"/>
      <c r="L1761" s="999"/>
      <c r="M1761" s="998"/>
      <c r="N1761" s="999"/>
      <c r="O1761" s="1000"/>
      <c r="P1761" s="940">
        <f>'[1]5.LO'!E15</f>
        <v>0</v>
      </c>
      <c r="Q1761" s="941"/>
      <c r="R1761" s="941"/>
      <c r="S1761" s="941"/>
      <c r="T1761" s="941"/>
      <c r="U1761" s="942"/>
      <c r="V1761" s="27"/>
    </row>
    <row r="1762" spans="1:22" s="20" customFormat="1" ht="18" customHeight="1">
      <c r="A1762" s="14"/>
      <c r="B1762" s="37"/>
      <c r="C1762" s="37"/>
      <c r="D1762" s="987"/>
      <c r="E1762" s="997" t="s">
        <v>535</v>
      </c>
      <c r="F1762" s="998"/>
      <c r="G1762" s="998"/>
      <c r="H1762" s="999"/>
      <c r="I1762" s="999"/>
      <c r="J1762" s="999"/>
      <c r="K1762" s="999"/>
      <c r="L1762" s="999"/>
      <c r="M1762" s="998"/>
      <c r="N1762" s="999"/>
      <c r="O1762" s="1000"/>
      <c r="P1762" s="940">
        <f>'[1]5.LO'!E16</f>
        <v>0</v>
      </c>
      <c r="Q1762" s="941"/>
      <c r="R1762" s="941"/>
      <c r="S1762" s="941"/>
      <c r="T1762" s="941"/>
      <c r="U1762" s="942"/>
      <c r="V1762" s="27"/>
    </row>
    <row r="1763" spans="1:22" s="20" customFormat="1" ht="18" customHeight="1">
      <c r="A1763" s="14"/>
      <c r="B1763" s="37"/>
      <c r="C1763" s="37"/>
      <c r="D1763" s="987"/>
      <c r="E1763" s="997" t="s">
        <v>536</v>
      </c>
      <c r="F1763" s="998"/>
      <c r="G1763" s="998"/>
      <c r="H1763" s="999"/>
      <c r="I1763" s="999"/>
      <c r="J1763" s="999"/>
      <c r="K1763" s="999"/>
      <c r="L1763" s="999"/>
      <c r="M1763" s="998"/>
      <c r="N1763" s="999"/>
      <c r="O1763" s="1000"/>
      <c r="P1763" s="940">
        <f>'[1]5.LO'!E17</f>
        <v>0</v>
      </c>
      <c r="Q1763" s="941"/>
      <c r="R1763" s="941"/>
      <c r="S1763" s="941"/>
      <c r="T1763" s="941"/>
      <c r="U1763" s="942"/>
      <c r="V1763" s="27"/>
    </row>
    <row r="1764" spans="1:22" s="20" customFormat="1" ht="27.75" customHeight="1">
      <c r="A1764" s="14"/>
      <c r="B1764" s="37"/>
      <c r="C1764" s="37"/>
      <c r="D1764" s="987"/>
      <c r="E1764" s="1001" t="s">
        <v>537</v>
      </c>
      <c r="F1764" s="1001"/>
      <c r="G1764" s="1001"/>
      <c r="H1764" s="1001"/>
      <c r="I1764" s="1001"/>
      <c r="J1764" s="1001"/>
      <c r="K1764" s="1001"/>
      <c r="L1764" s="1001"/>
      <c r="M1764" s="1001"/>
      <c r="N1764" s="1001"/>
      <c r="O1764" s="1002"/>
      <c r="P1764" s="940">
        <f>'[1]5.LO'!E18</f>
        <v>0</v>
      </c>
      <c r="Q1764" s="941"/>
      <c r="R1764" s="941"/>
      <c r="S1764" s="941"/>
      <c r="T1764" s="941"/>
      <c r="U1764" s="942"/>
      <c r="V1764" s="27"/>
    </row>
    <row r="1765" spans="1:22" s="20" customFormat="1" ht="18" customHeight="1">
      <c r="A1765" s="14"/>
      <c r="B1765" s="37"/>
      <c r="C1765" s="37"/>
      <c r="D1765" s="987">
        <v>2</v>
      </c>
      <c r="E1765" s="990" t="s">
        <v>538</v>
      </c>
      <c r="F1765" s="990"/>
      <c r="G1765" s="991"/>
      <c r="H1765" s="992"/>
      <c r="I1765" s="992"/>
      <c r="J1765" s="992"/>
      <c r="K1765" s="992"/>
      <c r="L1765" s="992"/>
      <c r="M1765" s="991"/>
      <c r="N1765" s="992"/>
      <c r="O1765" s="993"/>
      <c r="P1765" s="994">
        <f>'[1]5.LO'!E19</f>
        <v>188721200</v>
      </c>
      <c r="Q1765" s="995"/>
      <c r="R1765" s="995"/>
      <c r="S1765" s="995"/>
      <c r="T1765" s="995"/>
      <c r="U1765" s="996"/>
      <c r="V1765" s="27"/>
    </row>
    <row r="1766" spans="1:22" s="20" customFormat="1" ht="18" customHeight="1">
      <c r="A1766" s="14"/>
      <c r="B1766" s="37"/>
      <c r="C1766" s="37"/>
      <c r="D1766" s="987"/>
      <c r="E1766" s="990" t="s">
        <v>539</v>
      </c>
      <c r="F1766" s="1003"/>
      <c r="G1766" s="1003"/>
      <c r="H1766" s="1004"/>
      <c r="I1766" s="1004"/>
      <c r="J1766" s="1004"/>
      <c r="K1766" s="1004"/>
      <c r="L1766" s="1004"/>
      <c r="M1766" s="1003"/>
      <c r="N1766" s="1004"/>
      <c r="O1766" s="1005"/>
      <c r="P1766" s="994">
        <f>'[1]5.LO'!E20</f>
        <v>0</v>
      </c>
      <c r="Q1766" s="995"/>
      <c r="R1766" s="995"/>
      <c r="S1766" s="995"/>
      <c r="T1766" s="995"/>
      <c r="U1766" s="996"/>
      <c r="V1766" s="27"/>
    </row>
    <row r="1767" spans="1:22" s="20" customFormat="1" ht="18" customHeight="1">
      <c r="A1767" s="14"/>
      <c r="B1767" s="37"/>
      <c r="C1767" s="37"/>
      <c r="D1767" s="1006"/>
      <c r="E1767" s="1007"/>
      <c r="F1767" s="997" t="s">
        <v>159</v>
      </c>
      <c r="G1767" s="1003"/>
      <c r="H1767" s="1004"/>
      <c r="I1767" s="1004"/>
      <c r="J1767" s="1004"/>
      <c r="K1767" s="1004"/>
      <c r="L1767" s="1004"/>
      <c r="M1767" s="1003"/>
      <c r="N1767" s="1004"/>
      <c r="O1767" s="1005"/>
      <c r="P1767" s="940">
        <f>'[1]5.LO'!E21</f>
        <v>0</v>
      </c>
      <c r="Q1767" s="941"/>
      <c r="R1767" s="941"/>
      <c r="S1767" s="941"/>
      <c r="T1767" s="941"/>
      <c r="U1767" s="942"/>
      <c r="V1767" s="27"/>
    </row>
    <row r="1768" spans="1:22" s="20" customFormat="1" ht="18" customHeight="1">
      <c r="A1768" s="14"/>
      <c r="B1768" s="37"/>
      <c r="C1768" s="37"/>
      <c r="D1768" s="1006"/>
      <c r="E1768" s="1007"/>
      <c r="F1768" s="997" t="s">
        <v>540</v>
      </c>
      <c r="G1768" s="1003"/>
      <c r="H1768" s="1004"/>
      <c r="I1768" s="1004"/>
      <c r="J1768" s="1004"/>
      <c r="K1768" s="1004"/>
      <c r="L1768" s="1004"/>
      <c r="M1768" s="1003"/>
      <c r="N1768" s="1004"/>
      <c r="O1768" s="1005"/>
      <c r="P1768" s="940">
        <f>'[1]5.LO'!E22</f>
        <v>0</v>
      </c>
      <c r="Q1768" s="941"/>
      <c r="R1768" s="941"/>
      <c r="S1768" s="941"/>
      <c r="T1768" s="941"/>
      <c r="U1768" s="942"/>
      <c r="V1768" s="27"/>
    </row>
    <row r="1769" spans="1:22" s="20" customFormat="1" ht="18" customHeight="1">
      <c r="A1769" s="14"/>
      <c r="B1769" s="37"/>
      <c r="C1769" s="37"/>
      <c r="D1769" s="1006"/>
      <c r="E1769" s="1007"/>
      <c r="F1769" s="997" t="s">
        <v>541</v>
      </c>
      <c r="G1769" s="1003"/>
      <c r="H1769" s="1004"/>
      <c r="I1769" s="1004"/>
      <c r="J1769" s="1004"/>
      <c r="K1769" s="1004"/>
      <c r="L1769" s="1004"/>
      <c r="M1769" s="1003"/>
      <c r="N1769" s="1004"/>
      <c r="O1769" s="1005"/>
      <c r="P1769" s="940">
        <f>'[1]5.LO'!E23</f>
        <v>0</v>
      </c>
      <c r="Q1769" s="941"/>
      <c r="R1769" s="941"/>
      <c r="S1769" s="941"/>
      <c r="T1769" s="941"/>
      <c r="U1769" s="942"/>
      <c r="V1769" s="27"/>
    </row>
    <row r="1770" spans="1:22" s="20" customFormat="1" ht="18" customHeight="1">
      <c r="A1770" s="14"/>
      <c r="B1770" s="37"/>
      <c r="C1770" s="37"/>
      <c r="D1770" s="1006"/>
      <c r="E1770" s="1007"/>
      <c r="F1770" s="997" t="s">
        <v>160</v>
      </c>
      <c r="G1770" s="1003"/>
      <c r="H1770" s="1004"/>
      <c r="I1770" s="1004"/>
      <c r="J1770" s="1004"/>
      <c r="K1770" s="1004"/>
      <c r="L1770" s="1004"/>
      <c r="M1770" s="1003"/>
      <c r="N1770" s="1004"/>
      <c r="O1770" s="1005"/>
      <c r="P1770" s="940">
        <f>'[1]5.LO'!E24</f>
        <v>0</v>
      </c>
      <c r="Q1770" s="941"/>
      <c r="R1770" s="941"/>
      <c r="S1770" s="941"/>
      <c r="T1770" s="941"/>
      <c r="U1770" s="942"/>
      <c r="V1770" s="27"/>
    </row>
    <row r="1771" spans="1:22" s="20" customFormat="1" ht="18" customHeight="1">
      <c r="A1771" s="14"/>
      <c r="B1771" s="37"/>
      <c r="C1771" s="37"/>
      <c r="D1771" s="1006"/>
      <c r="E1771" s="1007"/>
      <c r="F1771" s="997" t="s">
        <v>542</v>
      </c>
      <c r="G1771" s="1003"/>
      <c r="H1771" s="1004"/>
      <c r="I1771" s="1004"/>
      <c r="J1771" s="1004"/>
      <c r="K1771" s="1004"/>
      <c r="L1771" s="1004"/>
      <c r="M1771" s="1003"/>
      <c r="N1771" s="1004"/>
      <c r="O1771" s="1005"/>
      <c r="P1771" s="940">
        <f>'[1]5.LO'!E25</f>
        <v>0</v>
      </c>
      <c r="Q1771" s="941"/>
      <c r="R1771" s="941"/>
      <c r="S1771" s="941"/>
      <c r="T1771" s="941"/>
      <c r="U1771" s="942"/>
      <c r="V1771" s="27"/>
    </row>
    <row r="1772" spans="1:22" s="20" customFormat="1" ht="18" customHeight="1">
      <c r="A1772" s="14"/>
      <c r="B1772" s="37"/>
      <c r="C1772" s="37"/>
      <c r="D1772" s="1006"/>
      <c r="E1772" s="1007"/>
      <c r="F1772" s="997" t="s">
        <v>543</v>
      </c>
      <c r="G1772" s="1003"/>
      <c r="H1772" s="1004"/>
      <c r="I1772" s="1004"/>
      <c r="J1772" s="1004"/>
      <c r="K1772" s="1004"/>
      <c r="L1772" s="1004"/>
      <c r="M1772" s="1003"/>
      <c r="N1772" s="1004"/>
      <c r="O1772" s="1005"/>
      <c r="P1772" s="940">
        <f>'[1]5.LO'!E26</f>
        <v>0</v>
      </c>
      <c r="Q1772" s="941"/>
      <c r="R1772" s="941"/>
      <c r="S1772" s="941"/>
      <c r="T1772" s="941"/>
      <c r="U1772" s="942"/>
      <c r="V1772" s="27"/>
    </row>
    <row r="1773" spans="1:22" s="20" customFormat="1" ht="18" customHeight="1">
      <c r="A1773" s="14"/>
      <c r="B1773" s="37"/>
      <c r="C1773" s="37"/>
      <c r="D1773" s="1006"/>
      <c r="E1773" s="1007"/>
      <c r="F1773" s="997" t="s">
        <v>544</v>
      </c>
      <c r="G1773" s="1003"/>
      <c r="H1773" s="1004"/>
      <c r="I1773" s="1004"/>
      <c r="J1773" s="1004"/>
      <c r="K1773" s="1004"/>
      <c r="L1773" s="1004"/>
      <c r="M1773" s="1003"/>
      <c r="N1773" s="1004"/>
      <c r="O1773" s="1005"/>
      <c r="P1773" s="940">
        <f>'[1]5.LO'!E27</f>
        <v>0</v>
      </c>
      <c r="Q1773" s="941"/>
      <c r="R1773" s="941"/>
      <c r="S1773" s="941"/>
      <c r="T1773" s="941"/>
      <c r="U1773" s="942"/>
      <c r="V1773" s="27"/>
    </row>
    <row r="1774" spans="1:22" s="20" customFormat="1" ht="18" customHeight="1">
      <c r="A1774" s="14"/>
      <c r="B1774" s="37"/>
      <c r="C1774" s="37"/>
      <c r="D1774" s="1008"/>
      <c r="E1774" s="990" t="s">
        <v>545</v>
      </c>
      <c r="F1774" s="1003"/>
      <c r="G1774" s="1003"/>
      <c r="H1774" s="1004"/>
      <c r="I1774" s="1004"/>
      <c r="J1774" s="1004"/>
      <c r="K1774" s="1004"/>
      <c r="L1774" s="1004"/>
      <c r="M1774" s="1003"/>
      <c r="N1774" s="1004"/>
      <c r="O1774" s="1005"/>
      <c r="P1774" s="994">
        <f>'[1]5.LO'!E28</f>
        <v>188721200</v>
      </c>
      <c r="Q1774" s="995"/>
      <c r="R1774" s="995"/>
      <c r="S1774" s="995"/>
      <c r="T1774" s="995"/>
      <c r="U1774" s="996"/>
      <c r="V1774" s="27"/>
    </row>
    <row r="1775" spans="1:22" s="20" customFormat="1" ht="18" customHeight="1">
      <c r="A1775" s="14"/>
      <c r="B1775" s="37"/>
      <c r="C1775" s="37"/>
      <c r="D1775" s="1006"/>
      <c r="E1775" s="1007"/>
      <c r="F1775" s="997" t="s">
        <v>161</v>
      </c>
      <c r="G1775" s="1003"/>
      <c r="H1775" s="1004"/>
      <c r="I1775" s="1004"/>
      <c r="J1775" s="1004"/>
      <c r="K1775" s="1004"/>
      <c r="L1775" s="1004"/>
      <c r="M1775" s="1003"/>
      <c r="N1775" s="1004"/>
      <c r="O1775" s="1005"/>
      <c r="P1775" s="940">
        <f>'[1]5.LO'!E29</f>
        <v>188721200</v>
      </c>
      <c r="Q1775" s="941"/>
      <c r="R1775" s="941"/>
      <c r="S1775" s="941"/>
      <c r="T1775" s="941"/>
      <c r="U1775" s="942"/>
      <c r="V1775" s="27"/>
    </row>
    <row r="1776" spans="1:22" s="20" customFormat="1" ht="18" customHeight="1">
      <c r="A1776" s="14"/>
      <c r="B1776" s="37"/>
      <c r="C1776" s="37"/>
      <c r="D1776" s="1006"/>
      <c r="E1776" s="1007"/>
      <c r="F1776" s="997" t="s">
        <v>162</v>
      </c>
      <c r="G1776" s="1003"/>
      <c r="H1776" s="1004"/>
      <c r="I1776" s="1004"/>
      <c r="J1776" s="1004"/>
      <c r="K1776" s="1004"/>
      <c r="L1776" s="1004"/>
      <c r="M1776" s="1003"/>
      <c r="N1776" s="1004"/>
      <c r="O1776" s="1005"/>
      <c r="P1776" s="940">
        <f>'[1]5.LO'!E30</f>
        <v>0</v>
      </c>
      <c r="Q1776" s="941"/>
      <c r="R1776" s="941"/>
      <c r="S1776" s="941"/>
      <c r="T1776" s="941"/>
      <c r="U1776" s="942"/>
      <c r="V1776" s="27"/>
    </row>
    <row r="1777" spans="1:22" s="20" customFormat="1" ht="18" customHeight="1">
      <c r="A1777" s="14"/>
      <c r="B1777" s="37"/>
      <c r="C1777" s="37"/>
      <c r="D1777" s="1006"/>
      <c r="E1777" s="1007"/>
      <c r="F1777" s="997" t="s">
        <v>163</v>
      </c>
      <c r="G1777" s="1003"/>
      <c r="H1777" s="1004"/>
      <c r="I1777" s="1004"/>
      <c r="J1777" s="1004"/>
      <c r="K1777" s="1004"/>
      <c r="L1777" s="1004"/>
      <c r="M1777" s="1003"/>
      <c r="N1777" s="1004"/>
      <c r="O1777" s="1005"/>
      <c r="P1777" s="940">
        <f>'[1]5.LO'!E31</f>
        <v>0</v>
      </c>
      <c r="Q1777" s="941"/>
      <c r="R1777" s="941"/>
      <c r="S1777" s="941"/>
      <c r="T1777" s="941"/>
      <c r="U1777" s="942"/>
      <c r="V1777" s="27"/>
    </row>
    <row r="1778" spans="1:22" s="20" customFormat="1" ht="18" customHeight="1">
      <c r="A1778" s="14"/>
      <c r="B1778" s="37"/>
      <c r="C1778" s="37"/>
      <c r="D1778" s="1006"/>
      <c r="E1778" s="1007"/>
      <c r="F1778" s="997" t="s">
        <v>546</v>
      </c>
      <c r="G1778" s="1003"/>
      <c r="H1778" s="1004"/>
      <c r="I1778" s="1004"/>
      <c r="J1778" s="1004"/>
      <c r="K1778" s="1004"/>
      <c r="L1778" s="1004"/>
      <c r="M1778" s="1003"/>
      <c r="N1778" s="1004"/>
      <c r="O1778" s="1005"/>
      <c r="P1778" s="940">
        <f>'[1]5.LO'!E32</f>
        <v>0</v>
      </c>
      <c r="Q1778" s="941"/>
      <c r="R1778" s="941"/>
      <c r="S1778" s="941"/>
      <c r="T1778" s="941"/>
      <c r="U1778" s="942"/>
      <c r="V1778" s="27"/>
    </row>
    <row r="1779" spans="1:22" s="20" customFormat="1" ht="18" customHeight="1">
      <c r="A1779" s="14"/>
      <c r="B1779" s="37"/>
      <c r="C1779" s="37"/>
      <c r="D1779" s="1006"/>
      <c r="E1779" s="1007"/>
      <c r="F1779" s="997" t="s">
        <v>164</v>
      </c>
      <c r="G1779" s="1003"/>
      <c r="H1779" s="1004"/>
      <c r="I1779" s="1004"/>
      <c r="J1779" s="1004"/>
      <c r="K1779" s="1004"/>
      <c r="L1779" s="1004"/>
      <c r="M1779" s="1003"/>
      <c r="N1779" s="1004"/>
      <c r="O1779" s="1005"/>
      <c r="P1779" s="940">
        <f>'[1]5.LO'!E33</f>
        <v>0</v>
      </c>
      <c r="Q1779" s="941"/>
      <c r="R1779" s="941"/>
      <c r="S1779" s="941"/>
      <c r="T1779" s="941"/>
      <c r="U1779" s="942"/>
      <c r="V1779" s="27"/>
    </row>
    <row r="1780" spans="1:22" s="20" customFormat="1" ht="24" customHeight="1">
      <c r="A1780" s="14"/>
      <c r="B1780" s="37"/>
      <c r="C1780" s="37"/>
      <c r="D1780" s="1006"/>
      <c r="E1780" s="1007"/>
      <c r="F1780" s="997" t="s">
        <v>547</v>
      </c>
      <c r="G1780" s="1003"/>
      <c r="H1780" s="1004"/>
      <c r="I1780" s="1004"/>
      <c r="J1780" s="1004"/>
      <c r="K1780" s="1004"/>
      <c r="L1780" s="1004"/>
      <c r="M1780" s="1003"/>
      <c r="N1780" s="1004"/>
      <c r="O1780" s="1005"/>
      <c r="P1780" s="940">
        <f>'[1]5.LO'!E34</f>
        <v>0</v>
      </c>
      <c r="Q1780" s="941"/>
      <c r="R1780" s="941"/>
      <c r="S1780" s="941"/>
      <c r="T1780" s="941"/>
      <c r="U1780" s="942"/>
      <c r="V1780" s="27"/>
    </row>
    <row r="1781" spans="1:22" s="20" customFormat="1" ht="27.75" customHeight="1">
      <c r="A1781" s="14"/>
      <c r="B1781" s="37"/>
      <c r="C1781" s="37"/>
      <c r="D1781" s="1006"/>
      <c r="E1781" s="1007"/>
      <c r="F1781" s="997" t="s">
        <v>548</v>
      </c>
      <c r="G1781" s="1003"/>
      <c r="H1781" s="1004"/>
      <c r="I1781" s="1004"/>
      <c r="J1781" s="1004"/>
      <c r="K1781" s="1004"/>
      <c r="L1781" s="1004"/>
      <c r="M1781" s="1003"/>
      <c r="N1781" s="1004"/>
      <c r="O1781" s="1005"/>
      <c r="P1781" s="940">
        <f>'[1]5.LO'!E35</f>
        <v>0</v>
      </c>
      <c r="Q1781" s="941"/>
      <c r="R1781" s="941"/>
      <c r="S1781" s="941"/>
      <c r="T1781" s="941"/>
      <c r="U1781" s="942"/>
      <c r="V1781" s="27"/>
    </row>
    <row r="1782" spans="1:22" s="20" customFormat="1" ht="18" customHeight="1">
      <c r="A1782" s="14"/>
      <c r="B1782" s="37"/>
      <c r="C1782" s="37"/>
      <c r="D1782" s="987"/>
      <c r="E1782" s="990" t="s">
        <v>549</v>
      </c>
      <c r="F1782" s="1003"/>
      <c r="G1782" s="1003"/>
      <c r="H1782" s="1004"/>
      <c r="I1782" s="1004"/>
      <c r="J1782" s="1004"/>
      <c r="K1782" s="1004"/>
      <c r="L1782" s="1004"/>
      <c r="M1782" s="1003"/>
      <c r="N1782" s="1004"/>
      <c r="O1782" s="1005"/>
      <c r="P1782" s="994">
        <f>'[1]5.LO'!E36</f>
        <v>0</v>
      </c>
      <c r="Q1782" s="995"/>
      <c r="R1782" s="995"/>
      <c r="S1782" s="995"/>
      <c r="T1782" s="995"/>
      <c r="U1782" s="996"/>
      <c r="V1782" s="27"/>
    </row>
    <row r="1783" spans="1:22" s="20" customFormat="1" ht="18" customHeight="1">
      <c r="A1783" s="14"/>
      <c r="B1783" s="37"/>
      <c r="C1783" s="37"/>
      <c r="D1783" s="1006"/>
      <c r="E1783" s="1007"/>
      <c r="F1783" s="997" t="s">
        <v>550</v>
      </c>
      <c r="G1783" s="1003"/>
      <c r="H1783" s="1004"/>
      <c r="I1783" s="1004"/>
      <c r="J1783" s="1004"/>
      <c r="K1783" s="1004"/>
      <c r="L1783" s="1004"/>
      <c r="M1783" s="1003"/>
      <c r="N1783" s="1004"/>
      <c r="O1783" s="1005"/>
      <c r="P1783" s="940">
        <f>'[1]5.LO'!E37</f>
        <v>0</v>
      </c>
      <c r="Q1783" s="941"/>
      <c r="R1783" s="941"/>
      <c r="S1783" s="941"/>
      <c r="T1783" s="941"/>
      <c r="U1783" s="942"/>
      <c r="V1783" s="27"/>
    </row>
    <row r="1784" spans="1:22" s="20" customFormat="1" ht="18" customHeight="1">
      <c r="A1784" s="14"/>
      <c r="B1784" s="37"/>
      <c r="C1784" s="37"/>
      <c r="D1784" s="1006"/>
      <c r="E1784" s="1007"/>
      <c r="F1784" s="997" t="s">
        <v>551</v>
      </c>
      <c r="G1784" s="1003"/>
      <c r="H1784" s="1004"/>
      <c r="I1784" s="1004"/>
      <c r="J1784" s="1004"/>
      <c r="K1784" s="1004"/>
      <c r="L1784" s="1004"/>
      <c r="M1784" s="1003"/>
      <c r="N1784" s="1004"/>
      <c r="O1784" s="1005"/>
      <c r="P1784" s="940">
        <f>'[1]5.LO'!E38</f>
        <v>0</v>
      </c>
      <c r="Q1784" s="941"/>
      <c r="R1784" s="941"/>
      <c r="S1784" s="941"/>
      <c r="T1784" s="941"/>
      <c r="U1784" s="942"/>
      <c r="V1784" s="27"/>
    </row>
    <row r="1785" spans="1:22" s="20" customFormat="1" ht="18" customHeight="1">
      <c r="A1785" s="14"/>
      <c r="B1785" s="37"/>
      <c r="C1785" s="37"/>
      <c r="D1785" s="1006"/>
      <c r="E1785" s="1007"/>
      <c r="F1785" s="997" t="s">
        <v>552</v>
      </c>
      <c r="G1785" s="1003"/>
      <c r="H1785" s="1004"/>
      <c r="I1785" s="1004"/>
      <c r="J1785" s="1004"/>
      <c r="K1785" s="1004"/>
      <c r="L1785" s="1004"/>
      <c r="M1785" s="1003"/>
      <c r="N1785" s="1004"/>
      <c r="O1785" s="1005"/>
      <c r="P1785" s="940">
        <f>'[1]5.LO'!E39</f>
        <v>0</v>
      </c>
      <c r="Q1785" s="941"/>
      <c r="R1785" s="941"/>
      <c r="S1785" s="941"/>
      <c r="T1785" s="941"/>
      <c r="U1785" s="942"/>
      <c r="V1785" s="27"/>
    </row>
    <row r="1786" spans="1:22" s="20" customFormat="1" ht="24" customHeight="1">
      <c r="A1786" s="14"/>
      <c r="B1786" s="37"/>
      <c r="C1786" s="37"/>
      <c r="D1786" s="987">
        <v>3</v>
      </c>
      <c r="E1786" s="1009" t="s">
        <v>553</v>
      </c>
      <c r="F1786" s="1009"/>
      <c r="G1786" s="1009"/>
      <c r="H1786" s="1009"/>
      <c r="I1786" s="1009"/>
      <c r="J1786" s="1009"/>
      <c r="K1786" s="1009"/>
      <c r="L1786" s="1009"/>
      <c r="M1786" s="1009"/>
      <c r="N1786" s="1009"/>
      <c r="O1786" s="1010"/>
      <c r="P1786" s="994">
        <f>'[1]5.LO'!E40</f>
        <v>0</v>
      </c>
      <c r="Q1786" s="995"/>
      <c r="R1786" s="995"/>
      <c r="S1786" s="995"/>
      <c r="T1786" s="995"/>
      <c r="U1786" s="996"/>
      <c r="V1786" s="27"/>
    </row>
    <row r="1787" spans="1:22" s="20" customFormat="1" ht="25.5" customHeight="1">
      <c r="A1787" s="14"/>
      <c r="B1787" s="37"/>
      <c r="C1787" s="37"/>
      <c r="D1787" s="987"/>
      <c r="E1787" s="1009" t="s">
        <v>554</v>
      </c>
      <c r="F1787" s="1009"/>
      <c r="G1787" s="1009"/>
      <c r="H1787" s="1009"/>
      <c r="I1787" s="1009"/>
      <c r="J1787" s="1009"/>
      <c r="K1787" s="1009"/>
      <c r="L1787" s="1009"/>
      <c r="M1787" s="1009"/>
      <c r="N1787" s="1009"/>
      <c r="O1787" s="1010"/>
      <c r="P1787" s="994">
        <f>'[1]5.LO'!E41</f>
        <v>0</v>
      </c>
      <c r="Q1787" s="995"/>
      <c r="R1787" s="995"/>
      <c r="S1787" s="995"/>
      <c r="T1787" s="995"/>
      <c r="U1787" s="996"/>
      <c r="V1787" s="27"/>
    </row>
    <row r="1788" spans="1:22" s="20" customFormat="1" ht="15.75" customHeight="1">
      <c r="A1788" s="14"/>
      <c r="B1788" s="37"/>
      <c r="C1788" s="37"/>
      <c r="D1788" s="1006"/>
      <c r="E1788" s="1007"/>
      <c r="F1788" s="997" t="s">
        <v>555</v>
      </c>
      <c r="G1788" s="1003"/>
      <c r="H1788" s="1004"/>
      <c r="I1788" s="1004"/>
      <c r="J1788" s="1004"/>
      <c r="K1788" s="1004"/>
      <c r="L1788" s="1004"/>
      <c r="M1788" s="1003"/>
      <c r="N1788" s="1004"/>
      <c r="O1788" s="1005"/>
      <c r="P1788" s="940">
        <f>'[1]5.LO'!E42</f>
        <v>0</v>
      </c>
      <c r="Q1788" s="941"/>
      <c r="R1788" s="941"/>
      <c r="S1788" s="941"/>
      <c r="T1788" s="941"/>
      <c r="U1788" s="942"/>
      <c r="V1788" s="27"/>
    </row>
    <row r="1789" spans="1:22" s="20" customFormat="1" ht="23.25" customHeight="1">
      <c r="A1789" s="14"/>
      <c r="B1789" s="37"/>
      <c r="C1789" s="37"/>
      <c r="D1789" s="1006"/>
      <c r="E1789" s="1007"/>
      <c r="F1789" s="997" t="s">
        <v>556</v>
      </c>
      <c r="G1789" s="1003"/>
      <c r="H1789" s="1004"/>
      <c r="I1789" s="1004"/>
      <c r="J1789" s="1004"/>
      <c r="K1789" s="1004"/>
      <c r="L1789" s="1004"/>
      <c r="M1789" s="1003"/>
      <c r="N1789" s="1004"/>
      <c r="O1789" s="1005"/>
      <c r="P1789" s="940">
        <f>'[1]5.LO'!E43</f>
        <v>0</v>
      </c>
      <c r="Q1789" s="941"/>
      <c r="R1789" s="941"/>
      <c r="S1789" s="941"/>
      <c r="T1789" s="941"/>
      <c r="U1789" s="942"/>
      <c r="V1789" s="27"/>
    </row>
    <row r="1790" spans="1:22" s="20" customFormat="1" ht="24" customHeight="1">
      <c r="A1790" s="14"/>
      <c r="B1790" s="37"/>
      <c r="C1790" s="37"/>
      <c r="D1790" s="1006"/>
      <c r="E1790" s="1007"/>
      <c r="F1790" s="997" t="s">
        <v>557</v>
      </c>
      <c r="G1790" s="1003"/>
      <c r="H1790" s="1004"/>
      <c r="I1790" s="1004"/>
      <c r="J1790" s="1004"/>
      <c r="K1790" s="1004"/>
      <c r="L1790" s="1004"/>
      <c r="M1790" s="1003"/>
      <c r="N1790" s="1004"/>
      <c r="O1790" s="1005"/>
      <c r="P1790" s="940">
        <f>'[1]5.LO'!E44</f>
        <v>0</v>
      </c>
      <c r="Q1790" s="941"/>
      <c r="R1790" s="941"/>
      <c r="S1790" s="941"/>
      <c r="T1790" s="941"/>
      <c r="U1790" s="942"/>
      <c r="V1790" s="27"/>
    </row>
    <row r="1791" spans="1:22" s="20" customFormat="1" ht="18" customHeight="1">
      <c r="A1791" s="14"/>
      <c r="B1791" s="37"/>
      <c r="C1791" s="37"/>
      <c r="D1791" s="1006"/>
      <c r="E1791" s="1007"/>
      <c r="F1791" s="997" t="s">
        <v>558</v>
      </c>
      <c r="G1791" s="1003"/>
      <c r="H1791" s="1004"/>
      <c r="I1791" s="1004"/>
      <c r="J1791" s="1004"/>
      <c r="K1791" s="1004"/>
      <c r="L1791" s="1004"/>
      <c r="M1791" s="1003"/>
      <c r="N1791" s="1004"/>
      <c r="O1791" s="1005"/>
      <c r="P1791" s="940">
        <f>'[1]5.LO'!E45</f>
        <v>0</v>
      </c>
      <c r="Q1791" s="941"/>
      <c r="R1791" s="941"/>
      <c r="S1791" s="941"/>
      <c r="T1791" s="941"/>
      <c r="U1791" s="942"/>
      <c r="V1791" s="27"/>
    </row>
    <row r="1792" spans="1:22" s="20" customFormat="1" ht="26.25" customHeight="1">
      <c r="A1792" s="14"/>
      <c r="B1792" s="37"/>
      <c r="C1792" s="37"/>
      <c r="D1792" s="1006"/>
      <c r="E1792" s="1007"/>
      <c r="F1792" s="997" t="s">
        <v>559</v>
      </c>
      <c r="G1792" s="1003"/>
      <c r="H1792" s="1004"/>
      <c r="I1792" s="1004"/>
      <c r="J1792" s="1004"/>
      <c r="K1792" s="1004"/>
      <c r="L1792" s="1004"/>
      <c r="M1792" s="1003"/>
      <c r="N1792" s="1004"/>
      <c r="O1792" s="1005"/>
      <c r="P1792" s="940">
        <f>'[1]5.LO'!E46</f>
        <v>0</v>
      </c>
      <c r="Q1792" s="941"/>
      <c r="R1792" s="941"/>
      <c r="S1792" s="941"/>
      <c r="T1792" s="941"/>
      <c r="U1792" s="942"/>
      <c r="V1792" s="27"/>
    </row>
    <row r="1793" spans="1:22" s="20" customFormat="1" ht="18" customHeight="1">
      <c r="A1793" s="14"/>
      <c r="B1793" s="37"/>
      <c r="C1793" s="37"/>
      <c r="D1793" s="1006"/>
      <c r="E1793" s="1007"/>
      <c r="F1793" s="997" t="s">
        <v>560</v>
      </c>
      <c r="G1793" s="1003"/>
      <c r="H1793" s="1004"/>
      <c r="I1793" s="1004"/>
      <c r="J1793" s="1004"/>
      <c r="K1793" s="1004"/>
      <c r="L1793" s="1004"/>
      <c r="M1793" s="1003"/>
      <c r="N1793" s="1004"/>
      <c r="O1793" s="1005"/>
      <c r="P1793" s="940">
        <f>'[1]5.LO'!E47</f>
        <v>0</v>
      </c>
      <c r="Q1793" s="941"/>
      <c r="R1793" s="941"/>
      <c r="S1793" s="941"/>
      <c r="T1793" s="941"/>
      <c r="U1793" s="942"/>
      <c r="V1793" s="27"/>
    </row>
    <row r="1794" spans="1:22" s="20" customFormat="1" ht="27" customHeight="1">
      <c r="A1794" s="14"/>
      <c r="B1794" s="37"/>
      <c r="C1794" s="37"/>
      <c r="D1794" s="987"/>
      <c r="E1794" s="1011"/>
      <c r="F1794" s="702" t="s">
        <v>561</v>
      </c>
      <c r="G1794" s="1012"/>
      <c r="H1794" s="1012"/>
      <c r="I1794" s="1012"/>
      <c r="J1794" s="1012"/>
      <c r="K1794" s="1012"/>
      <c r="L1794" s="1012"/>
      <c r="M1794" s="1012"/>
      <c r="N1794" s="1012"/>
      <c r="O1794" s="1013"/>
      <c r="P1794" s="994">
        <f>'[1]5.LO'!E48</f>
        <v>0</v>
      </c>
      <c r="Q1794" s="995"/>
      <c r="R1794" s="995"/>
      <c r="S1794" s="995"/>
      <c r="T1794" s="995"/>
      <c r="U1794" s="996"/>
      <c r="V1794" s="27"/>
    </row>
    <row r="1795" spans="1:22" s="20" customFormat="1" ht="18" customHeight="1">
      <c r="A1795" s="14"/>
      <c r="B1795" s="37"/>
      <c r="C1795" s="37"/>
      <c r="D1795" s="1006"/>
      <c r="E1795" s="1007"/>
      <c r="F1795" s="997" t="s">
        <v>562</v>
      </c>
      <c r="G1795" s="1003"/>
      <c r="H1795" s="1004"/>
      <c r="I1795" s="1004"/>
      <c r="J1795" s="1004"/>
      <c r="K1795" s="1004"/>
      <c r="L1795" s="1004"/>
      <c r="M1795" s="1003"/>
      <c r="N1795" s="1004"/>
      <c r="O1795" s="1005"/>
      <c r="P1795" s="940">
        <f>'[1]5.LO'!E49</f>
        <v>0</v>
      </c>
      <c r="Q1795" s="941"/>
      <c r="R1795" s="941"/>
      <c r="S1795" s="941"/>
      <c r="T1795" s="941"/>
      <c r="U1795" s="942"/>
      <c r="V1795" s="27"/>
    </row>
    <row r="1796" spans="1:22" s="20" customFormat="1" ht="18" customHeight="1">
      <c r="A1796" s="14"/>
      <c r="B1796" s="37"/>
      <c r="C1796" s="37"/>
      <c r="D1796" s="1006"/>
      <c r="E1796" s="1007"/>
      <c r="F1796" s="997" t="s">
        <v>563</v>
      </c>
      <c r="G1796" s="1003"/>
      <c r="H1796" s="1004"/>
      <c r="I1796" s="1004"/>
      <c r="J1796" s="1004"/>
      <c r="K1796" s="1004"/>
      <c r="L1796" s="1004"/>
      <c r="M1796" s="1003"/>
      <c r="N1796" s="1004"/>
      <c r="O1796" s="1005"/>
      <c r="P1796" s="940">
        <f>'[1]5.LO'!E50</f>
        <v>0</v>
      </c>
      <c r="Q1796" s="941"/>
      <c r="R1796" s="941"/>
      <c r="S1796" s="941"/>
      <c r="T1796" s="941"/>
      <c r="U1796" s="942"/>
      <c r="V1796" s="27"/>
    </row>
    <row r="1797" spans="1:22" s="20" customFormat="1" ht="27" customHeight="1">
      <c r="A1797" s="14"/>
      <c r="B1797" s="37"/>
      <c r="C1797" s="37"/>
      <c r="D1797" s="987">
        <v>4</v>
      </c>
      <c r="E1797" s="990" t="s">
        <v>564</v>
      </c>
      <c r="F1797" s="990"/>
      <c r="G1797" s="1003"/>
      <c r="H1797" s="1004"/>
      <c r="I1797" s="1004"/>
      <c r="J1797" s="1004"/>
      <c r="K1797" s="1004"/>
      <c r="L1797" s="1004"/>
      <c r="M1797" s="1003"/>
      <c r="N1797" s="1004"/>
      <c r="O1797" s="1005"/>
      <c r="P1797" s="994">
        <f>'[1]5.LO'!E51</f>
        <v>346109500</v>
      </c>
      <c r="Q1797" s="995"/>
      <c r="R1797" s="995"/>
      <c r="S1797" s="995"/>
      <c r="T1797" s="995"/>
      <c r="U1797" s="996"/>
      <c r="V1797" s="27"/>
    </row>
    <row r="1798" spans="1:22" s="20" customFormat="1" ht="23.25" customHeight="1">
      <c r="A1798" s="14"/>
      <c r="B1798" s="37"/>
      <c r="C1798" s="37"/>
      <c r="D1798" s="987"/>
      <c r="E1798" s="1014"/>
      <c r="F1798" s="702" t="s">
        <v>565</v>
      </c>
      <c r="G1798" s="1012"/>
      <c r="H1798" s="1012"/>
      <c r="I1798" s="1012"/>
      <c r="J1798" s="1012"/>
      <c r="K1798" s="1012"/>
      <c r="L1798" s="1012"/>
      <c r="M1798" s="1012"/>
      <c r="N1798" s="1012"/>
      <c r="O1798" s="1013"/>
      <c r="P1798" s="994">
        <f>'[1]5.LO'!E52</f>
        <v>47960400</v>
      </c>
      <c r="Q1798" s="995"/>
      <c r="R1798" s="995"/>
      <c r="S1798" s="995"/>
      <c r="T1798" s="995"/>
      <c r="U1798" s="996"/>
      <c r="V1798" s="27"/>
    </row>
    <row r="1799" spans="1:22" s="20" customFormat="1" ht="18" customHeight="1">
      <c r="A1799" s="14"/>
      <c r="B1799" s="37"/>
      <c r="C1799" s="37"/>
      <c r="D1799" s="1006"/>
      <c r="E1799" s="1007"/>
      <c r="F1799" s="997" t="s">
        <v>566</v>
      </c>
      <c r="G1799" s="1003"/>
      <c r="H1799" s="1004"/>
      <c r="I1799" s="1004"/>
      <c r="J1799" s="1004"/>
      <c r="K1799" s="1004"/>
      <c r="L1799" s="1004"/>
      <c r="M1799" s="1003"/>
      <c r="N1799" s="1004"/>
      <c r="O1799" s="1005"/>
      <c r="P1799" s="940">
        <f>'[1]5.LO'!E53</f>
        <v>0</v>
      </c>
      <c r="Q1799" s="941"/>
      <c r="R1799" s="941"/>
      <c r="S1799" s="941"/>
      <c r="T1799" s="941"/>
      <c r="U1799" s="942"/>
      <c r="V1799" s="27"/>
    </row>
    <row r="1800" spans="1:22" s="20" customFormat="1" ht="23.25" customHeight="1">
      <c r="A1800" s="14"/>
      <c r="B1800" s="37"/>
      <c r="C1800" s="37"/>
      <c r="D1800" s="1006"/>
      <c r="E1800" s="1007"/>
      <c r="F1800" s="1001" t="s">
        <v>567</v>
      </c>
      <c r="G1800" s="1012"/>
      <c r="H1800" s="1012"/>
      <c r="I1800" s="1012"/>
      <c r="J1800" s="1012"/>
      <c r="K1800" s="1012"/>
      <c r="L1800" s="1012"/>
      <c r="M1800" s="1012"/>
      <c r="N1800" s="1012"/>
      <c r="O1800" s="1013"/>
      <c r="P1800" s="940">
        <f>'[1]5.LO'!E54</f>
        <v>0</v>
      </c>
      <c r="Q1800" s="941"/>
      <c r="R1800" s="941"/>
      <c r="S1800" s="941"/>
      <c r="T1800" s="941"/>
      <c r="U1800" s="942"/>
      <c r="V1800" s="27"/>
    </row>
    <row r="1801" spans="1:22" s="20" customFormat="1" ht="25.5" customHeight="1">
      <c r="A1801" s="14"/>
      <c r="B1801" s="37"/>
      <c r="C1801" s="37"/>
      <c r="D1801" s="1006"/>
      <c r="E1801" s="1007"/>
      <c r="F1801" s="997" t="s">
        <v>568</v>
      </c>
      <c r="G1801" s="1003"/>
      <c r="H1801" s="1004"/>
      <c r="I1801" s="1004"/>
      <c r="J1801" s="1004"/>
      <c r="K1801" s="1004"/>
      <c r="L1801" s="1004"/>
      <c r="M1801" s="1003"/>
      <c r="N1801" s="1004"/>
      <c r="O1801" s="1005"/>
      <c r="P1801" s="940">
        <f>'[1]5.LO'!E55</f>
        <v>0</v>
      </c>
      <c r="Q1801" s="941"/>
      <c r="R1801" s="941"/>
      <c r="S1801" s="941"/>
      <c r="T1801" s="941"/>
      <c r="U1801" s="942"/>
      <c r="V1801" s="27"/>
    </row>
    <row r="1802" spans="1:22" s="20" customFormat="1" ht="18" customHeight="1">
      <c r="A1802" s="14"/>
      <c r="B1802" s="37"/>
      <c r="C1802" s="37"/>
      <c r="D1802" s="1006"/>
      <c r="E1802" s="1007"/>
      <c r="F1802" s="997" t="s">
        <v>569</v>
      </c>
      <c r="G1802" s="1003"/>
      <c r="H1802" s="1004"/>
      <c r="I1802" s="1004"/>
      <c r="J1802" s="1004"/>
      <c r="K1802" s="1004"/>
      <c r="L1802" s="1004"/>
      <c r="M1802" s="1003"/>
      <c r="N1802" s="1004"/>
      <c r="O1802" s="1005"/>
      <c r="P1802" s="940">
        <f>'[1]5.LO'!E56</f>
        <v>47960400</v>
      </c>
      <c r="Q1802" s="941"/>
      <c r="R1802" s="941"/>
      <c r="S1802" s="941"/>
      <c r="T1802" s="941"/>
      <c r="U1802" s="942"/>
      <c r="V1802" s="27"/>
    </row>
    <row r="1803" spans="1:22" s="20" customFormat="1" ht="18" customHeight="1">
      <c r="A1803" s="14"/>
      <c r="B1803" s="37"/>
      <c r="C1803" s="37"/>
      <c r="D1803" s="1006"/>
      <c r="E1803" s="1007"/>
      <c r="F1803" s="997" t="s">
        <v>570</v>
      </c>
      <c r="G1803" s="1003"/>
      <c r="H1803" s="1004"/>
      <c r="I1803" s="1004"/>
      <c r="J1803" s="1004"/>
      <c r="K1803" s="1004"/>
      <c r="L1803" s="1004"/>
      <c r="M1803" s="1003"/>
      <c r="N1803" s="1004"/>
      <c r="O1803" s="1005"/>
      <c r="P1803" s="940">
        <f>'[1]5.LO'!E57</f>
        <v>0</v>
      </c>
      <c r="Q1803" s="941"/>
      <c r="R1803" s="941"/>
      <c r="S1803" s="941"/>
      <c r="T1803" s="941"/>
      <c r="U1803" s="942"/>
      <c r="V1803" s="27"/>
    </row>
    <row r="1804" spans="1:22" s="20" customFormat="1" ht="18" customHeight="1">
      <c r="A1804" s="14"/>
      <c r="B1804" s="37"/>
      <c r="C1804" s="37"/>
      <c r="D1804" s="1006"/>
      <c r="E1804" s="1007"/>
      <c r="F1804" s="997" t="s">
        <v>571</v>
      </c>
      <c r="G1804" s="1003"/>
      <c r="H1804" s="1004"/>
      <c r="I1804" s="1004"/>
      <c r="J1804" s="1004"/>
      <c r="K1804" s="1004"/>
      <c r="L1804" s="1004"/>
      <c r="M1804" s="1003"/>
      <c r="N1804" s="1004"/>
      <c r="O1804" s="1005"/>
      <c r="P1804" s="940">
        <f>'[1]5.LO'!E58</f>
        <v>0</v>
      </c>
      <c r="Q1804" s="941"/>
      <c r="R1804" s="941"/>
      <c r="S1804" s="941"/>
      <c r="T1804" s="941"/>
      <c r="U1804" s="942"/>
      <c r="V1804" s="27"/>
    </row>
    <row r="1805" spans="1:22" s="20" customFormat="1" ht="18" customHeight="1">
      <c r="A1805" s="14"/>
      <c r="B1805" s="37"/>
      <c r="C1805" s="37"/>
      <c r="D1805" s="987"/>
      <c r="E1805" s="1014"/>
      <c r="F1805" s="990" t="s">
        <v>170</v>
      </c>
      <c r="G1805" s="1003"/>
      <c r="H1805" s="1004"/>
      <c r="I1805" s="1004"/>
      <c r="J1805" s="1004"/>
      <c r="K1805" s="1004"/>
      <c r="L1805" s="1004"/>
      <c r="M1805" s="1003"/>
      <c r="N1805" s="1004"/>
      <c r="O1805" s="1005"/>
      <c r="P1805" s="994">
        <f>'[1]5.LO'!E59</f>
        <v>0</v>
      </c>
      <c r="Q1805" s="995"/>
      <c r="R1805" s="995"/>
      <c r="S1805" s="995"/>
      <c r="T1805" s="995"/>
      <c r="U1805" s="996"/>
      <c r="V1805" s="27"/>
    </row>
    <row r="1806" spans="1:22" s="20" customFormat="1" ht="18" customHeight="1">
      <c r="A1806" s="14"/>
      <c r="B1806" s="37"/>
      <c r="C1806" s="37"/>
      <c r="D1806" s="1006"/>
      <c r="E1806" s="1007"/>
      <c r="F1806" s="997" t="s">
        <v>572</v>
      </c>
      <c r="G1806" s="1003"/>
      <c r="H1806" s="1004"/>
      <c r="I1806" s="1004"/>
      <c r="J1806" s="1004"/>
      <c r="K1806" s="1004"/>
      <c r="L1806" s="1004"/>
      <c r="M1806" s="1003"/>
      <c r="N1806" s="1004"/>
      <c r="O1806" s="1005"/>
      <c r="P1806" s="940">
        <f>'[1]5.LO'!E60</f>
        <v>0</v>
      </c>
      <c r="Q1806" s="941"/>
      <c r="R1806" s="941"/>
      <c r="S1806" s="941"/>
      <c r="T1806" s="941"/>
      <c r="U1806" s="942"/>
      <c r="V1806" s="27"/>
    </row>
    <row r="1807" spans="1:22" s="20" customFormat="1" ht="18" customHeight="1">
      <c r="A1807" s="14"/>
      <c r="B1807" s="37"/>
      <c r="C1807" s="37"/>
      <c r="D1807" s="1006"/>
      <c r="E1807" s="1007"/>
      <c r="F1807" s="997" t="s">
        <v>573</v>
      </c>
      <c r="G1807" s="1003"/>
      <c r="H1807" s="1004"/>
      <c r="I1807" s="1004"/>
      <c r="J1807" s="1004"/>
      <c r="K1807" s="1004"/>
      <c r="L1807" s="1004"/>
      <c r="M1807" s="1003"/>
      <c r="N1807" s="1004"/>
      <c r="O1807" s="1005"/>
      <c r="P1807" s="940">
        <f>'[1]5.LO'!E61</f>
        <v>0</v>
      </c>
      <c r="Q1807" s="941"/>
      <c r="R1807" s="941"/>
      <c r="S1807" s="941"/>
      <c r="T1807" s="941"/>
      <c r="U1807" s="942"/>
      <c r="V1807" s="27"/>
    </row>
    <row r="1808" spans="1:22" s="20" customFormat="1" ht="18" customHeight="1">
      <c r="A1808" s="14"/>
      <c r="B1808" s="37"/>
      <c r="C1808" s="37"/>
      <c r="D1808" s="987"/>
      <c r="E1808" s="1014"/>
      <c r="F1808" s="990" t="s">
        <v>574</v>
      </c>
      <c r="G1808" s="1003"/>
      <c r="H1808" s="1004"/>
      <c r="I1808" s="1004"/>
      <c r="J1808" s="1004"/>
      <c r="K1808" s="1004"/>
      <c r="L1808" s="1004"/>
      <c r="M1808" s="1003"/>
      <c r="N1808" s="1004"/>
      <c r="O1808" s="1005"/>
      <c r="P1808" s="994">
        <f>'[1]5.LO'!E62</f>
        <v>0</v>
      </c>
      <c r="Q1808" s="995"/>
      <c r="R1808" s="995"/>
      <c r="S1808" s="995"/>
      <c r="T1808" s="995"/>
      <c r="U1808" s="996"/>
      <c r="V1808" s="27"/>
    </row>
    <row r="1809" spans="1:22" s="20" customFormat="1" ht="18" customHeight="1">
      <c r="A1809" s="14"/>
      <c r="B1809" s="37"/>
      <c r="C1809" s="37"/>
      <c r="D1809" s="1006"/>
      <c r="E1809" s="1007"/>
      <c r="F1809" s="997" t="s">
        <v>575</v>
      </c>
      <c r="G1809" s="1003"/>
      <c r="H1809" s="1004"/>
      <c r="I1809" s="1004"/>
      <c r="J1809" s="1004"/>
      <c r="K1809" s="1004"/>
      <c r="L1809" s="1004"/>
      <c r="M1809" s="1003"/>
      <c r="N1809" s="1004"/>
      <c r="O1809" s="1005"/>
      <c r="P1809" s="940">
        <f>'[1]5.LO'!E63</f>
        <v>0</v>
      </c>
      <c r="Q1809" s="941"/>
      <c r="R1809" s="941"/>
      <c r="S1809" s="941"/>
      <c r="T1809" s="941"/>
      <c r="U1809" s="942"/>
      <c r="V1809" s="27"/>
    </row>
    <row r="1810" spans="1:22" s="20" customFormat="1" ht="27" customHeight="1">
      <c r="A1810" s="14"/>
      <c r="B1810" s="37"/>
      <c r="C1810" s="37"/>
      <c r="D1810" s="1006"/>
      <c r="E1810" s="1007"/>
      <c r="F1810" s="997" t="s">
        <v>576</v>
      </c>
      <c r="G1810" s="1003"/>
      <c r="H1810" s="1004"/>
      <c r="I1810" s="1004"/>
      <c r="J1810" s="1004"/>
      <c r="K1810" s="1004"/>
      <c r="L1810" s="1004"/>
      <c r="M1810" s="1003"/>
      <c r="N1810" s="1004"/>
      <c r="O1810" s="1005"/>
      <c r="P1810" s="940">
        <f>'[1]5.LO'!E64</f>
        <v>0</v>
      </c>
      <c r="Q1810" s="941"/>
      <c r="R1810" s="941"/>
      <c r="S1810" s="941"/>
      <c r="T1810" s="941"/>
      <c r="U1810" s="942"/>
      <c r="V1810" s="27"/>
    </row>
    <row r="1811" spans="1:22" s="20" customFormat="1" ht="18" customHeight="1">
      <c r="A1811" s="14"/>
      <c r="B1811" s="37"/>
      <c r="C1811" s="37"/>
      <c r="D1811" s="1006"/>
      <c r="E1811" s="1007"/>
      <c r="F1811" s="997" t="s">
        <v>577</v>
      </c>
      <c r="G1811" s="1003"/>
      <c r="H1811" s="1004"/>
      <c r="I1811" s="1004"/>
      <c r="J1811" s="1004"/>
      <c r="K1811" s="1004"/>
      <c r="L1811" s="1004"/>
      <c r="M1811" s="1003"/>
      <c r="N1811" s="1004"/>
      <c r="O1811" s="1005"/>
      <c r="P1811" s="940">
        <f>'[1]5.LO'!E65</f>
        <v>0</v>
      </c>
      <c r="Q1811" s="941"/>
      <c r="R1811" s="941"/>
      <c r="S1811" s="941"/>
      <c r="T1811" s="941"/>
      <c r="U1811" s="942"/>
      <c r="V1811" s="27"/>
    </row>
    <row r="1812" spans="1:22" s="20" customFormat="1" ht="18" customHeight="1">
      <c r="A1812" s="14"/>
      <c r="B1812" s="37"/>
      <c r="C1812" s="37"/>
      <c r="D1812" s="1006"/>
      <c r="E1812" s="1007"/>
      <c r="F1812" s="997" t="s">
        <v>578</v>
      </c>
      <c r="G1812" s="1003"/>
      <c r="H1812" s="1004"/>
      <c r="I1812" s="1004"/>
      <c r="J1812" s="1004"/>
      <c r="K1812" s="1004"/>
      <c r="L1812" s="1004"/>
      <c r="M1812" s="1003"/>
      <c r="N1812" s="1004"/>
      <c r="O1812" s="1005"/>
      <c r="P1812" s="940">
        <f>'[1]5.LO'!E66</f>
        <v>0</v>
      </c>
      <c r="Q1812" s="941"/>
      <c r="R1812" s="941"/>
      <c r="S1812" s="941"/>
      <c r="T1812" s="941"/>
      <c r="U1812" s="942"/>
      <c r="V1812" s="27"/>
    </row>
    <row r="1813" spans="1:22" s="20" customFormat="1" ht="18" customHeight="1">
      <c r="A1813" s="14"/>
      <c r="B1813" s="37"/>
      <c r="C1813" s="37"/>
      <c r="D1813" s="987"/>
      <c r="E1813" s="1014"/>
      <c r="F1813" s="990" t="s">
        <v>579</v>
      </c>
      <c r="G1813" s="1003"/>
      <c r="H1813" s="1004"/>
      <c r="I1813" s="1004"/>
      <c r="J1813" s="1004"/>
      <c r="K1813" s="1004"/>
      <c r="L1813" s="1004"/>
      <c r="M1813" s="1003"/>
      <c r="N1813" s="1004"/>
      <c r="O1813" s="1005"/>
      <c r="P1813" s="994">
        <f>'[1]5.LO'!E67</f>
        <v>0</v>
      </c>
      <c r="Q1813" s="995"/>
      <c r="R1813" s="995"/>
      <c r="S1813" s="995"/>
      <c r="T1813" s="995"/>
      <c r="U1813" s="996"/>
      <c r="V1813" s="27"/>
    </row>
    <row r="1814" spans="1:22" s="20" customFormat="1" ht="18" customHeight="1">
      <c r="A1814" s="14"/>
      <c r="B1814" s="37"/>
      <c r="C1814" s="37"/>
      <c r="D1814" s="1006"/>
      <c r="E1814" s="1007"/>
      <c r="F1814" s="997" t="s">
        <v>580</v>
      </c>
      <c r="G1814" s="1003"/>
      <c r="H1814" s="1004"/>
      <c r="I1814" s="1004"/>
      <c r="J1814" s="1004"/>
      <c r="K1814" s="1004"/>
      <c r="L1814" s="1004"/>
      <c r="M1814" s="1003"/>
      <c r="N1814" s="1004"/>
      <c r="O1814" s="1005"/>
      <c r="P1814" s="940">
        <f>'[1]5.LO'!E68</f>
        <v>0</v>
      </c>
      <c r="Q1814" s="941"/>
      <c r="R1814" s="941"/>
      <c r="S1814" s="941"/>
      <c r="T1814" s="941"/>
      <c r="U1814" s="942"/>
      <c r="V1814" s="27"/>
    </row>
    <row r="1815" spans="1:22" s="20" customFormat="1" ht="18" customHeight="1">
      <c r="A1815" s="14"/>
      <c r="B1815" s="37"/>
      <c r="C1815" s="37"/>
      <c r="D1815" s="1006"/>
      <c r="E1815" s="1007"/>
      <c r="F1815" s="997" t="s">
        <v>581</v>
      </c>
      <c r="G1815" s="1003"/>
      <c r="H1815" s="1004"/>
      <c r="I1815" s="1004"/>
      <c r="J1815" s="1004"/>
      <c r="K1815" s="1004"/>
      <c r="L1815" s="1004"/>
      <c r="M1815" s="1003"/>
      <c r="N1815" s="1004"/>
      <c r="O1815" s="1005"/>
      <c r="P1815" s="940">
        <f>'[1]5.LO'!E69</f>
        <v>0</v>
      </c>
      <c r="Q1815" s="941"/>
      <c r="R1815" s="941"/>
      <c r="S1815" s="941"/>
      <c r="T1815" s="941"/>
      <c r="U1815" s="942"/>
      <c r="V1815" s="27"/>
    </row>
    <row r="1816" spans="1:22" s="20" customFormat="1" ht="24.75" customHeight="1">
      <c r="A1816" s="14"/>
      <c r="B1816" s="37"/>
      <c r="C1816" s="37"/>
      <c r="D1816" s="987"/>
      <c r="E1816" s="1014"/>
      <c r="F1816" s="702" t="s">
        <v>582</v>
      </c>
      <c r="G1816" s="1012"/>
      <c r="H1816" s="1012"/>
      <c r="I1816" s="1012"/>
      <c r="J1816" s="1012"/>
      <c r="K1816" s="1012"/>
      <c r="L1816" s="1012"/>
      <c r="M1816" s="1012"/>
      <c r="N1816" s="1012"/>
      <c r="O1816" s="1013"/>
      <c r="P1816" s="994">
        <f>'[1]5.LO'!E70</f>
        <v>0</v>
      </c>
      <c r="Q1816" s="995"/>
      <c r="R1816" s="995"/>
      <c r="S1816" s="995"/>
      <c r="T1816" s="995"/>
      <c r="U1816" s="996"/>
      <c r="V1816" s="27"/>
    </row>
    <row r="1817" spans="1:22" s="20" customFormat="1" ht="18" customHeight="1">
      <c r="A1817" s="14"/>
      <c r="B1817" s="37"/>
      <c r="C1817" s="37"/>
      <c r="D1817" s="1006"/>
      <c r="E1817" s="1007"/>
      <c r="F1817" s="997" t="s">
        <v>583</v>
      </c>
      <c r="G1817" s="1003"/>
      <c r="H1817" s="1004"/>
      <c r="I1817" s="1004"/>
      <c r="J1817" s="1004"/>
      <c r="K1817" s="1004"/>
      <c r="L1817" s="1004"/>
      <c r="M1817" s="1003"/>
      <c r="N1817" s="1004"/>
      <c r="O1817" s="1005"/>
      <c r="P1817" s="940">
        <f>'[1]5.LO'!E71</f>
        <v>0</v>
      </c>
      <c r="Q1817" s="941"/>
      <c r="R1817" s="941"/>
      <c r="S1817" s="941"/>
      <c r="T1817" s="941"/>
      <c r="U1817" s="942"/>
      <c r="V1817" s="27"/>
    </row>
    <row r="1818" spans="1:22" s="20" customFormat="1" ht="18" customHeight="1">
      <c r="A1818" s="14"/>
      <c r="B1818" s="37"/>
      <c r="C1818" s="37"/>
      <c r="D1818" s="987"/>
      <c r="E1818" s="1014"/>
      <c r="F1818" s="990" t="s">
        <v>584</v>
      </c>
      <c r="G1818" s="1003"/>
      <c r="H1818" s="1004"/>
      <c r="I1818" s="1004"/>
      <c r="J1818" s="1004"/>
      <c r="K1818" s="1004"/>
      <c r="L1818" s="1004"/>
      <c r="M1818" s="1003"/>
      <c r="N1818" s="1004"/>
      <c r="O1818" s="1005"/>
      <c r="P1818" s="994">
        <f>'[1]5.LO'!E72</f>
        <v>72974050</v>
      </c>
      <c r="Q1818" s="995"/>
      <c r="R1818" s="995"/>
      <c r="S1818" s="995"/>
      <c r="T1818" s="995"/>
      <c r="U1818" s="996"/>
      <c r="V1818" s="27"/>
    </row>
    <row r="1819" spans="1:22" s="20" customFormat="1" ht="18" customHeight="1">
      <c r="A1819" s="14"/>
      <c r="B1819" s="37"/>
      <c r="C1819" s="37"/>
      <c r="D1819" s="1006"/>
      <c r="E1819" s="1007"/>
      <c r="F1819" s="997" t="s">
        <v>585</v>
      </c>
      <c r="G1819" s="1003"/>
      <c r="H1819" s="1004"/>
      <c r="I1819" s="1004"/>
      <c r="J1819" s="1004"/>
      <c r="K1819" s="1004"/>
      <c r="L1819" s="1004"/>
      <c r="M1819" s="1003"/>
      <c r="N1819" s="1004"/>
      <c r="O1819" s="1005"/>
      <c r="P1819" s="940">
        <f>'[1]5.LO'!E75</f>
        <v>225175050</v>
      </c>
      <c r="Q1819" s="941"/>
      <c r="R1819" s="941"/>
      <c r="S1819" s="941"/>
      <c r="T1819" s="941"/>
      <c r="U1819" s="942"/>
      <c r="V1819" s="27"/>
    </row>
    <row r="1820" spans="1:22" s="20" customFormat="1" ht="18" customHeight="1">
      <c r="A1820" s="14"/>
      <c r="B1820" s="37"/>
      <c r="C1820" s="37"/>
      <c r="D1820" s="987"/>
      <c r="E1820" s="1014"/>
      <c r="F1820" s="990" t="s">
        <v>172</v>
      </c>
      <c r="G1820" s="1003"/>
      <c r="H1820" s="1004"/>
      <c r="I1820" s="1004"/>
      <c r="J1820" s="1004"/>
      <c r="K1820" s="1004"/>
      <c r="L1820" s="1004"/>
      <c r="M1820" s="1003"/>
      <c r="N1820" s="1004"/>
      <c r="O1820" s="1005"/>
      <c r="P1820" s="994">
        <f>'[1]5.LO'!E74</f>
        <v>225175050</v>
      </c>
      <c r="Q1820" s="995"/>
      <c r="R1820" s="995"/>
      <c r="S1820" s="995"/>
      <c r="T1820" s="995"/>
      <c r="U1820" s="996"/>
      <c r="V1820" s="27"/>
    </row>
    <row r="1821" spans="1:22" s="20" customFormat="1" ht="18" customHeight="1">
      <c r="A1821" s="14"/>
      <c r="B1821" s="37"/>
      <c r="C1821" s="37"/>
      <c r="D1821" s="1006"/>
      <c r="E1821" s="1007"/>
      <c r="F1821" s="997" t="s">
        <v>586</v>
      </c>
      <c r="G1821" s="1003"/>
      <c r="H1821" s="1004"/>
      <c r="I1821" s="1004"/>
      <c r="J1821" s="1004"/>
      <c r="K1821" s="1004"/>
      <c r="L1821" s="1004"/>
      <c r="M1821" s="1003"/>
      <c r="N1821" s="1004"/>
      <c r="O1821" s="1005"/>
      <c r="P1821" s="940">
        <f>'[1]5.LO'!E75</f>
        <v>225175050</v>
      </c>
      <c r="Q1821" s="941"/>
      <c r="R1821" s="941"/>
      <c r="S1821" s="941"/>
      <c r="T1821" s="941"/>
      <c r="U1821" s="942"/>
      <c r="V1821" s="27"/>
    </row>
    <row r="1822" spans="1:22" s="20" customFormat="1" ht="18" customHeight="1">
      <c r="A1822" s="14"/>
      <c r="B1822" s="37"/>
      <c r="C1822" s="37"/>
      <c r="D1822" s="987"/>
      <c r="E1822" s="1014"/>
      <c r="F1822" s="990" t="s">
        <v>587</v>
      </c>
      <c r="G1822" s="1003"/>
      <c r="H1822" s="1004"/>
      <c r="I1822" s="1004"/>
      <c r="J1822" s="1004"/>
      <c r="K1822" s="1004"/>
      <c r="L1822" s="1004"/>
      <c r="M1822" s="1003"/>
      <c r="N1822" s="1004"/>
      <c r="O1822" s="1005"/>
      <c r="P1822" s="994">
        <f>'[1]5.LO'!E76</f>
        <v>0</v>
      </c>
      <c r="Q1822" s="995"/>
      <c r="R1822" s="995"/>
      <c r="S1822" s="995"/>
      <c r="T1822" s="995"/>
      <c r="U1822" s="996"/>
      <c r="V1822" s="27"/>
    </row>
    <row r="1823" spans="1:22" s="20" customFormat="1" ht="18" customHeight="1">
      <c r="A1823" s="14"/>
      <c r="B1823" s="37"/>
      <c r="C1823" s="37"/>
      <c r="D1823" s="1006"/>
      <c r="E1823" s="1007"/>
      <c r="F1823" s="997" t="s">
        <v>588</v>
      </c>
      <c r="G1823" s="1003"/>
      <c r="H1823" s="1004"/>
      <c r="I1823" s="1004"/>
      <c r="J1823" s="1004"/>
      <c r="K1823" s="1004"/>
      <c r="L1823" s="1004"/>
      <c r="M1823" s="1003"/>
      <c r="N1823" s="1004"/>
      <c r="O1823" s="1005"/>
      <c r="P1823" s="940">
        <f>'[1]5.LO'!E78</f>
        <v>0</v>
      </c>
      <c r="Q1823" s="941"/>
      <c r="R1823" s="941"/>
      <c r="S1823" s="941"/>
      <c r="T1823" s="941"/>
      <c r="U1823" s="942"/>
      <c r="V1823" s="27"/>
    </row>
    <row r="1824" spans="1:22" s="20" customFormat="1" ht="19.5" customHeight="1">
      <c r="A1824" s="14"/>
      <c r="B1824" s="37"/>
      <c r="C1824" s="37"/>
      <c r="D1824" s="1006"/>
      <c r="E1824" s="1007"/>
      <c r="F1824" s="997" t="s">
        <v>589</v>
      </c>
      <c r="G1824" s="1003"/>
      <c r="H1824" s="1004"/>
      <c r="I1824" s="1004"/>
      <c r="J1824" s="1004"/>
      <c r="K1824" s="1004"/>
      <c r="L1824" s="1004"/>
      <c r="M1824" s="1003"/>
      <c r="N1824" s="1004"/>
      <c r="O1824" s="1005"/>
      <c r="P1824" s="940">
        <f>'[1]5.LO'!E78</f>
        <v>0</v>
      </c>
      <c r="Q1824" s="941"/>
      <c r="R1824" s="941"/>
      <c r="S1824" s="941"/>
      <c r="T1824" s="941"/>
      <c r="U1824" s="942"/>
      <c r="V1824" s="27"/>
    </row>
    <row r="1825" spans="1:32" s="20" customFormat="1" ht="19.5" customHeight="1">
      <c r="A1825" s="14"/>
      <c r="B1825" s="37"/>
      <c r="C1825" s="37"/>
      <c r="D1825" s="987"/>
      <c r="E1825" s="1014"/>
      <c r="F1825" s="990" t="s">
        <v>590</v>
      </c>
      <c r="G1825" s="1003"/>
      <c r="H1825" s="1004"/>
      <c r="I1825" s="1004"/>
      <c r="J1825" s="1004"/>
      <c r="K1825" s="1004"/>
      <c r="L1825" s="1004"/>
      <c r="M1825" s="1003"/>
      <c r="N1825" s="1004"/>
      <c r="O1825" s="1005"/>
      <c r="P1825" s="994">
        <f>'[1]5.LO'!E79</f>
        <v>0</v>
      </c>
      <c r="Q1825" s="995"/>
      <c r="R1825" s="995"/>
      <c r="S1825" s="995"/>
      <c r="T1825" s="995"/>
      <c r="U1825" s="996"/>
      <c r="V1825" s="27"/>
    </row>
    <row r="1826" spans="1:32" s="20" customFormat="1" ht="18.75" customHeight="1">
      <c r="A1826" s="14"/>
      <c r="B1826" s="37"/>
      <c r="C1826" s="37"/>
      <c r="D1826" s="1006"/>
      <c r="E1826" s="1007"/>
      <c r="F1826" s="997" t="s">
        <v>590</v>
      </c>
      <c r="G1826" s="1003"/>
      <c r="H1826" s="1004"/>
      <c r="I1826" s="1004"/>
      <c r="J1826" s="1004"/>
      <c r="K1826" s="1004"/>
      <c r="L1826" s="1004"/>
      <c r="M1826" s="1003"/>
      <c r="N1826" s="1004"/>
      <c r="O1826" s="1005"/>
      <c r="P1826" s="940">
        <f>'[1]5.LO'!E80</f>
        <v>0</v>
      </c>
      <c r="Q1826" s="941"/>
      <c r="R1826" s="941"/>
      <c r="S1826" s="941"/>
      <c r="T1826" s="941"/>
      <c r="U1826" s="942"/>
      <c r="V1826" s="27"/>
    </row>
    <row r="1827" spans="1:32" s="20" customFormat="1" ht="18.75" customHeight="1">
      <c r="A1827" s="14"/>
      <c r="B1827" s="37"/>
      <c r="C1827" s="37"/>
      <c r="D1827" s="987"/>
      <c r="E1827" s="1014"/>
      <c r="F1827" s="990" t="s">
        <v>591</v>
      </c>
      <c r="G1827" s="1003"/>
      <c r="H1827" s="1004"/>
      <c r="I1827" s="1004"/>
      <c r="J1827" s="1004"/>
      <c r="K1827" s="1004"/>
      <c r="L1827" s="1004"/>
      <c r="M1827" s="1003"/>
      <c r="N1827" s="1004"/>
      <c r="O1827" s="1005"/>
      <c r="P1827" s="994">
        <f>'[1]5.LO'!E81</f>
        <v>0</v>
      </c>
      <c r="Q1827" s="995"/>
      <c r="R1827" s="995"/>
      <c r="S1827" s="995"/>
      <c r="T1827" s="995"/>
      <c r="U1827" s="996"/>
      <c r="V1827" s="27"/>
    </row>
    <row r="1828" spans="1:32" s="20" customFormat="1" ht="18.75" customHeight="1">
      <c r="A1828" s="14"/>
      <c r="B1828" s="37"/>
      <c r="C1828" s="37"/>
      <c r="D1828" s="1006"/>
      <c r="E1828" s="1007"/>
      <c r="F1828" s="997" t="s">
        <v>592</v>
      </c>
      <c r="G1828" s="1003"/>
      <c r="H1828" s="1004"/>
      <c r="I1828" s="1004"/>
      <c r="J1828" s="1004"/>
      <c r="K1828" s="1004"/>
      <c r="L1828" s="1004"/>
      <c r="M1828" s="1003"/>
      <c r="N1828" s="1004"/>
      <c r="O1828" s="1005"/>
      <c r="P1828" s="940">
        <f>'[1]5.LO'!E82</f>
        <v>0</v>
      </c>
      <c r="Q1828" s="941"/>
      <c r="R1828" s="941"/>
      <c r="S1828" s="941"/>
      <c r="T1828" s="941"/>
      <c r="U1828" s="942"/>
      <c r="V1828" s="27"/>
    </row>
    <row r="1829" spans="1:32" s="20" customFormat="1" ht="18.75" customHeight="1">
      <c r="A1829" s="14"/>
      <c r="B1829" s="37"/>
      <c r="C1829" s="37"/>
      <c r="D1829" s="1006"/>
      <c r="E1829" s="1007"/>
      <c r="F1829" s="997" t="s">
        <v>593</v>
      </c>
      <c r="G1829" s="1003"/>
      <c r="H1829" s="1004"/>
      <c r="I1829" s="1004"/>
      <c r="J1829" s="1004"/>
      <c r="K1829" s="1004"/>
      <c r="L1829" s="1004"/>
      <c r="M1829" s="1003"/>
      <c r="N1829" s="1004"/>
      <c r="O1829" s="1005"/>
      <c r="P1829" s="940">
        <f>'[1]5.LO'!E83</f>
        <v>0</v>
      </c>
      <c r="Q1829" s="941"/>
      <c r="R1829" s="941"/>
      <c r="S1829" s="941"/>
      <c r="T1829" s="941"/>
      <c r="U1829" s="942"/>
      <c r="V1829" s="27"/>
    </row>
    <row r="1830" spans="1:32" s="20" customFormat="1" ht="20.25" customHeight="1">
      <c r="A1830" s="14"/>
      <c r="B1830" s="37"/>
      <c r="C1830" s="37"/>
      <c r="D1830" s="1015" t="s">
        <v>594</v>
      </c>
      <c r="E1830" s="1016"/>
      <c r="F1830" s="1016"/>
      <c r="G1830" s="1016"/>
      <c r="H1830" s="1016"/>
      <c r="I1830" s="1016"/>
      <c r="J1830" s="1016"/>
      <c r="K1830" s="1016"/>
      <c r="L1830" s="1016"/>
      <c r="M1830" s="1016"/>
      <c r="N1830" s="1016"/>
      <c r="O1830" s="1017"/>
      <c r="P1830" s="994">
        <f>P1754+P1765+P1786+P1797</f>
        <v>534830700</v>
      </c>
      <c r="Q1830" s="995"/>
      <c r="R1830" s="995"/>
      <c r="S1830" s="995"/>
      <c r="T1830" s="995"/>
      <c r="U1830" s="996"/>
      <c r="V1830" s="27"/>
    </row>
    <row r="1831" spans="1:32" s="20" customFormat="1" ht="34.5" customHeight="1">
      <c r="A1831" s="14"/>
      <c r="B1831" s="37"/>
      <c r="C1831" s="37"/>
      <c r="D1831" s="747" t="str">
        <f>"Pendapatan-LO  "&amp;'[1]2.ISIAN DATA SKPD'!D2&amp;" tersebut terdiri dari :"</f>
        <v>Pendapatan-LO  Dinas Pekerjaan Umum dan Penataan Ruang tersebut terdiri dari :</v>
      </c>
      <c r="E1831" s="747"/>
      <c r="F1831" s="747"/>
      <c r="G1831" s="747"/>
      <c r="H1831" s="747"/>
      <c r="I1831" s="747"/>
      <c r="J1831" s="747"/>
      <c r="K1831" s="747"/>
      <c r="L1831" s="747"/>
      <c r="M1831" s="747"/>
      <c r="N1831" s="747"/>
      <c r="O1831" s="747"/>
      <c r="P1831" s="747"/>
      <c r="Q1831" s="747"/>
      <c r="R1831" s="747"/>
      <c r="S1831" s="747"/>
      <c r="T1831" s="747"/>
      <c r="U1831" s="747"/>
      <c r="V1831" s="27"/>
    </row>
    <row r="1832" spans="1:32" s="20" customFormat="1" ht="18" customHeight="1">
      <c r="A1832" s="14"/>
      <c r="B1832" s="37"/>
      <c r="C1832" s="37"/>
      <c r="D1832" s="285" t="s">
        <v>5</v>
      </c>
      <c r="E1832" s="129" t="s">
        <v>595</v>
      </c>
      <c r="F1832" s="129"/>
      <c r="G1832" s="129"/>
      <c r="H1832" s="129"/>
      <c r="I1832" s="129"/>
      <c r="J1832" s="129"/>
      <c r="K1832" s="129"/>
      <c r="L1832" s="129"/>
      <c r="M1832" s="129"/>
      <c r="N1832" s="285" t="s">
        <v>369</v>
      </c>
      <c r="O1832" s="1018">
        <v>0</v>
      </c>
      <c r="P1832" s="1018"/>
      <c r="Q1832" s="1018"/>
      <c r="R1832" s="1018"/>
      <c r="S1832" s="1018"/>
      <c r="T1832" s="1018"/>
      <c r="U1832" s="1018"/>
      <c r="V1832" s="27"/>
    </row>
    <row r="1833" spans="1:32" s="20" customFormat="1" ht="18.75" customHeight="1">
      <c r="A1833" s="14"/>
      <c r="B1833" s="37"/>
      <c r="C1833" s="37"/>
      <c r="D1833" s="285" t="s">
        <v>7</v>
      </c>
      <c r="E1833" s="129" t="s">
        <v>596</v>
      </c>
      <c r="F1833" s="129"/>
      <c r="G1833" s="129"/>
      <c r="H1833" s="129"/>
      <c r="I1833" s="129"/>
      <c r="J1833" s="129"/>
      <c r="K1833" s="129"/>
      <c r="L1833" s="129"/>
      <c r="M1833" s="129"/>
      <c r="N1833" s="285" t="s">
        <v>279</v>
      </c>
      <c r="O1833" s="1018">
        <v>0</v>
      </c>
      <c r="P1833" s="1018"/>
      <c r="Q1833" s="1018"/>
      <c r="R1833" s="1018"/>
      <c r="S1833" s="1018"/>
      <c r="T1833" s="1018"/>
      <c r="U1833" s="1018"/>
      <c r="V1833" s="27"/>
    </row>
    <row r="1834" spans="1:32" s="20" customFormat="1" ht="22.5" customHeight="1">
      <c r="A1834" s="14"/>
      <c r="B1834" s="37"/>
      <c r="C1834" s="37"/>
      <c r="D1834" s="285" t="s">
        <v>165</v>
      </c>
      <c r="E1834" s="129" t="s">
        <v>597</v>
      </c>
      <c r="F1834" s="129"/>
      <c r="G1834" s="129"/>
      <c r="H1834" s="129"/>
      <c r="I1834" s="129"/>
      <c r="J1834" s="129"/>
      <c r="K1834" s="129"/>
      <c r="L1834" s="129"/>
      <c r="M1834" s="129"/>
      <c r="N1834" s="285" t="s">
        <v>279</v>
      </c>
      <c r="O1834" s="1018">
        <v>0</v>
      </c>
      <c r="P1834" s="1018"/>
      <c r="Q1834" s="1018"/>
      <c r="R1834" s="1018"/>
      <c r="S1834" s="1018"/>
      <c r="T1834" s="1018"/>
      <c r="U1834" s="1018"/>
      <c r="V1834" s="27"/>
    </row>
    <row r="1835" spans="1:32" s="20" customFormat="1" ht="30.75" customHeight="1">
      <c r="A1835" s="14"/>
      <c r="B1835" s="37"/>
      <c r="C1835" s="37"/>
      <c r="D1835" s="285" t="s">
        <v>262</v>
      </c>
      <c r="E1835" s="129" t="s">
        <v>598</v>
      </c>
      <c r="F1835" s="129"/>
      <c r="G1835" s="129"/>
      <c r="H1835" s="129"/>
      <c r="I1835" s="129"/>
      <c r="J1835" s="129"/>
      <c r="K1835" s="129"/>
      <c r="L1835" s="129"/>
      <c r="M1835" s="129"/>
      <c r="N1835" s="285" t="s">
        <v>279</v>
      </c>
      <c r="O1835" s="1018">
        <v>0</v>
      </c>
      <c r="P1835" s="1018"/>
      <c r="Q1835" s="1018"/>
      <c r="R1835" s="1018"/>
      <c r="S1835" s="1018"/>
      <c r="T1835" s="1018"/>
      <c r="U1835" s="1018"/>
      <c r="V1835" s="27"/>
    </row>
    <row r="1836" spans="1:32" s="20" customFormat="1" ht="21" customHeight="1">
      <c r="A1836" s="14"/>
      <c r="B1836" s="37"/>
      <c r="C1836" s="37"/>
      <c r="D1836" s="429"/>
      <c r="E1836" s="224" t="s">
        <v>143</v>
      </c>
      <c r="F1836" s="224"/>
      <c r="G1836" s="224"/>
      <c r="H1836" s="224"/>
      <c r="I1836" s="224"/>
      <c r="J1836" s="224"/>
      <c r="K1836" s="224"/>
      <c r="L1836" s="224"/>
      <c r="M1836" s="224"/>
      <c r="N1836" s="429"/>
      <c r="O1836" s="1019">
        <f>SUM(O1832:U1835)</f>
        <v>0</v>
      </c>
      <c r="P1836" s="1019"/>
      <c r="Q1836" s="1019"/>
      <c r="R1836" s="1019"/>
      <c r="S1836" s="1019"/>
      <c r="T1836" s="1019"/>
      <c r="U1836" s="1019"/>
      <c r="V1836" s="27"/>
    </row>
    <row r="1837" spans="1:32" s="20" customFormat="1" ht="21.75" customHeight="1">
      <c r="A1837" s="14"/>
      <c r="B1837" s="37"/>
      <c r="C1837" s="1020" t="s">
        <v>112</v>
      </c>
      <c r="D1837" s="985" t="s">
        <v>141</v>
      </c>
      <c r="E1837" s="985"/>
      <c r="F1837" s="985"/>
      <c r="G1837" s="985"/>
      <c r="H1837" s="985"/>
      <c r="I1837" s="985"/>
      <c r="J1837" s="985"/>
      <c r="K1837" s="985"/>
      <c r="L1837" s="985"/>
      <c r="M1837" s="985"/>
      <c r="N1837" s="985"/>
      <c r="O1837" s="985"/>
      <c r="P1837" s="985"/>
      <c r="Q1837" s="985"/>
      <c r="R1837" s="985"/>
      <c r="S1837" s="985"/>
      <c r="T1837" s="985"/>
      <c r="U1837" s="985"/>
      <c r="V1837" s="27"/>
    </row>
    <row r="1838" spans="1:32" s="20" customFormat="1" ht="51" customHeight="1">
      <c r="A1838" s="14"/>
      <c r="B1838" s="37"/>
      <c r="C1838" s="37"/>
      <c r="D1838" s="313" t="str">
        <f>"Akun ini menggambarkan realisasi Pendapatan Transfer  untuk periode Tahun Anggaran "&amp;'[1]2.ISIAN DATA SKPD'!D11&amp;" dan "&amp;'[1]2.ISIAN DATA SKPD'!D12&amp;" dengan rincian jumlah sebagai berikut :"</f>
        <v>Akun ini menggambarkan realisasi Pendapatan Transfer  untuk periode Tahun Anggaran 2017 dan 2016 dengan rincian jumlah sebagai berikut :</v>
      </c>
      <c r="E1838" s="313"/>
      <c r="F1838" s="313"/>
      <c r="G1838" s="313"/>
      <c r="H1838" s="313"/>
      <c r="I1838" s="313"/>
      <c r="J1838" s="313"/>
      <c r="K1838" s="313"/>
      <c r="L1838" s="313"/>
      <c r="M1838" s="313"/>
      <c r="N1838" s="313"/>
      <c r="O1838" s="313"/>
      <c r="P1838" s="313"/>
      <c r="Q1838" s="313"/>
      <c r="R1838" s="313"/>
      <c r="S1838" s="313"/>
      <c r="T1838" s="313"/>
      <c r="U1838" s="313"/>
      <c r="V1838" s="27"/>
    </row>
    <row r="1839" spans="1:32" s="20" customFormat="1" ht="21" customHeight="1">
      <c r="A1839" s="14"/>
      <c r="B1839" s="37"/>
      <c r="C1839" s="37"/>
      <c r="D1839" s="285"/>
      <c r="E1839" s="285"/>
      <c r="F1839" s="285"/>
      <c r="G1839" s="285"/>
      <c r="H1839" s="285"/>
      <c r="I1839" s="285"/>
      <c r="J1839" s="285"/>
      <c r="K1839" s="285"/>
      <c r="L1839" s="285"/>
      <c r="M1839" s="285"/>
      <c r="N1839" s="285"/>
      <c r="O1839" s="285"/>
      <c r="P1839" s="285"/>
      <c r="Q1839" s="285"/>
      <c r="R1839" s="285"/>
      <c r="S1839" s="285"/>
      <c r="T1839" s="285"/>
      <c r="U1839" s="285"/>
      <c r="V1839" s="27"/>
    </row>
    <row r="1840" spans="1:32" s="20" customFormat="1" ht="21.75" customHeight="1">
      <c r="A1840" s="303" t="s">
        <v>84</v>
      </c>
      <c r="B1840" s="304"/>
      <c r="C1840" s="304"/>
      <c r="D1840" s="304"/>
      <c r="E1840" s="304"/>
      <c r="F1840" s="304"/>
      <c r="G1840" s="304"/>
      <c r="H1840" s="305"/>
      <c r="I1840" s="303" t="str">
        <f>G1735</f>
        <v>TA 2017</v>
      </c>
      <c r="J1840" s="304"/>
      <c r="K1840" s="304"/>
      <c r="L1840" s="304"/>
      <c r="M1840" s="304"/>
      <c r="N1840" s="305"/>
      <c r="O1840" s="303" t="str">
        <f>M1735</f>
        <v>TA 2016</v>
      </c>
      <c r="P1840" s="304"/>
      <c r="Q1840" s="304"/>
      <c r="R1840" s="304"/>
      <c r="S1840" s="304"/>
      <c r="T1840" s="304"/>
      <c r="U1840" s="305"/>
      <c r="V1840" s="804"/>
      <c r="W1840" s="805"/>
      <c r="X1840" s="805"/>
      <c r="Y1840" s="208" t="s">
        <v>417</v>
      </c>
      <c r="Z1840" s="805"/>
      <c r="AA1840" s="805"/>
      <c r="AB1840" s="805"/>
      <c r="AC1840" s="712" t="s">
        <v>404</v>
      </c>
      <c r="AD1840" s="713"/>
      <c r="AE1840" s="713"/>
      <c r="AF1840" s="806"/>
    </row>
    <row r="1841" spans="1:32" s="20" customFormat="1" ht="36.75" customHeight="1">
      <c r="A1841" s="1021" t="s">
        <v>599</v>
      </c>
      <c r="B1841" s="1022"/>
      <c r="C1841" s="1022"/>
      <c r="D1841" s="1022"/>
      <c r="E1841" s="1022"/>
      <c r="F1841" s="1022"/>
      <c r="G1841" s="1022"/>
      <c r="H1841" s="1023"/>
      <c r="I1841" s="940">
        <f>'[1]5.LO'!E86</f>
        <v>0</v>
      </c>
      <c r="J1841" s="941"/>
      <c r="K1841" s="941"/>
      <c r="L1841" s="941"/>
      <c r="M1841" s="941"/>
      <c r="N1841" s="942"/>
      <c r="O1841" s="940">
        <f>'[1]5.LO'!F86</f>
        <v>0</v>
      </c>
      <c r="P1841" s="941"/>
      <c r="Q1841" s="941"/>
      <c r="R1841" s="941"/>
      <c r="S1841" s="941"/>
      <c r="T1841" s="941"/>
      <c r="U1841" s="942"/>
      <c r="V1841" s="808"/>
      <c r="W1841" s="805"/>
      <c r="X1841" s="805"/>
      <c r="Y1841" s="208" t="e">
        <f>(R1841-B1841)/B1841*100</f>
        <v>#DIV/0!</v>
      </c>
      <c r="Z1841" s="805"/>
      <c r="AA1841" s="805"/>
      <c r="AB1841" s="805"/>
      <c r="AC1841" s="451">
        <f>R1841-B1841</f>
        <v>0</v>
      </c>
      <c r="AD1841" s="452"/>
      <c r="AE1841" s="452"/>
      <c r="AF1841" s="453"/>
    </row>
    <row r="1842" spans="1:32" s="20" customFormat="1" ht="30.75" customHeight="1">
      <c r="A1842" s="1024" t="s">
        <v>600</v>
      </c>
      <c r="B1842" s="1025"/>
      <c r="C1842" s="1025"/>
      <c r="D1842" s="1025"/>
      <c r="E1842" s="1025"/>
      <c r="F1842" s="1025"/>
      <c r="G1842" s="1025"/>
      <c r="H1842" s="1026"/>
      <c r="I1842" s="940">
        <f>'[1]5.LO'!E121</f>
        <v>0</v>
      </c>
      <c r="J1842" s="941"/>
      <c r="K1842" s="941"/>
      <c r="L1842" s="941"/>
      <c r="M1842" s="941"/>
      <c r="N1842" s="942"/>
      <c r="O1842" s="940">
        <f>'[1]5.LO'!F121</f>
        <v>0</v>
      </c>
      <c r="P1842" s="941"/>
      <c r="Q1842" s="941"/>
      <c r="R1842" s="941"/>
      <c r="S1842" s="941"/>
      <c r="T1842" s="941"/>
      <c r="U1842" s="942"/>
      <c r="V1842" s="808"/>
      <c r="W1842" s="805"/>
      <c r="X1842" s="805"/>
      <c r="Y1842" s="208" t="e">
        <f>(R1842-B1842)/B1842*100</f>
        <v>#DIV/0!</v>
      </c>
      <c r="Z1842" s="805"/>
      <c r="AA1842" s="805"/>
      <c r="AB1842" s="805"/>
      <c r="AC1842" s="451">
        <f>R1842-B1842</f>
        <v>0</v>
      </c>
      <c r="AD1842" s="452"/>
      <c r="AE1842" s="452"/>
      <c r="AF1842" s="453"/>
    </row>
    <row r="1843" spans="1:32" s="20" customFormat="1" ht="21" customHeight="1">
      <c r="A1843" s="1024" t="s">
        <v>177</v>
      </c>
      <c r="B1843" s="1025"/>
      <c r="C1843" s="1025"/>
      <c r="D1843" s="1025"/>
      <c r="E1843" s="1025"/>
      <c r="F1843" s="1025"/>
      <c r="G1843" s="1025"/>
      <c r="H1843" s="1026"/>
      <c r="I1843" s="940">
        <f>'[1]5.LO'!E124</f>
        <v>0</v>
      </c>
      <c r="J1843" s="941"/>
      <c r="K1843" s="941"/>
      <c r="L1843" s="941"/>
      <c r="M1843" s="941"/>
      <c r="N1843" s="942"/>
      <c r="O1843" s="940">
        <f>'[1]5.LO'!F124</f>
        <v>0</v>
      </c>
      <c r="P1843" s="941"/>
      <c r="Q1843" s="941"/>
      <c r="R1843" s="941"/>
      <c r="S1843" s="941"/>
      <c r="T1843" s="941"/>
      <c r="U1843" s="942"/>
      <c r="V1843" s="808"/>
      <c r="W1843" s="805"/>
      <c r="X1843" s="805"/>
      <c r="Y1843" s="208" t="e">
        <f>(R1843-B1843)/B1843*100</f>
        <v>#DIV/0!</v>
      </c>
      <c r="Z1843" s="805"/>
      <c r="AA1843" s="805"/>
      <c r="AB1843" s="805"/>
      <c r="AC1843" s="451">
        <f>R1843-B1843</f>
        <v>0</v>
      </c>
      <c r="AD1843" s="452"/>
      <c r="AE1843" s="452"/>
      <c r="AF1843" s="453"/>
    </row>
    <row r="1844" spans="1:32" s="20" customFormat="1" ht="33" customHeight="1">
      <c r="A1844" s="411" t="s">
        <v>143</v>
      </c>
      <c r="B1844" s="454"/>
      <c r="C1844" s="454"/>
      <c r="D1844" s="454"/>
      <c r="E1844" s="454"/>
      <c r="F1844" s="454"/>
      <c r="G1844" s="454"/>
      <c r="H1844" s="455"/>
      <c r="I1844" s="994">
        <f>SUM(I1841:R1843)</f>
        <v>0</v>
      </c>
      <c r="J1844" s="995"/>
      <c r="K1844" s="995"/>
      <c r="L1844" s="995"/>
      <c r="M1844" s="995"/>
      <c r="N1844" s="996"/>
      <c r="O1844" s="994">
        <f>SUM(O1841:U1843)</f>
        <v>0</v>
      </c>
      <c r="P1844" s="995"/>
      <c r="Q1844" s="995"/>
      <c r="R1844" s="995"/>
      <c r="S1844" s="995"/>
      <c r="T1844" s="995"/>
      <c r="U1844" s="996"/>
      <c r="V1844" s="808"/>
      <c r="W1844" s="805"/>
      <c r="X1844" s="805"/>
      <c r="Y1844" s="208" t="e">
        <f>(R1844-B1844)/B1844*100</f>
        <v>#DIV/0!</v>
      </c>
      <c r="Z1844" s="805"/>
      <c r="AA1844" s="805"/>
      <c r="AB1844" s="805"/>
      <c r="AC1844" s="451">
        <f>R1844-B1844</f>
        <v>0</v>
      </c>
      <c r="AD1844" s="452"/>
      <c r="AE1844" s="452"/>
      <c r="AF1844" s="453"/>
    </row>
    <row r="1845" spans="1:32" s="20" customFormat="1" ht="31.5" customHeight="1">
      <c r="A1845" s="14"/>
      <c r="B1845" s="37"/>
      <c r="C1845" s="37"/>
      <c r="D1845" s="1027" t="str">
        <f>"Adapun rincian Pendapatan Transfer per "&amp;'[1]2.ISIAN DATA SKPD'!D8&amp;" sebagaimana berikut :"</f>
        <v>Adapun rincian Pendapatan Transfer per 31 Desember 2017 sebagaimana berikut :</v>
      </c>
      <c r="E1845" s="1027"/>
      <c r="F1845" s="1027"/>
      <c r="G1845" s="1027"/>
      <c r="H1845" s="1027"/>
      <c r="I1845" s="1027"/>
      <c r="J1845" s="1027"/>
      <c r="K1845" s="1027"/>
      <c r="L1845" s="1027"/>
      <c r="M1845" s="1027"/>
      <c r="N1845" s="1027"/>
      <c r="O1845" s="1027"/>
      <c r="P1845" s="1027"/>
      <c r="Q1845" s="1027"/>
      <c r="R1845" s="1027"/>
      <c r="S1845" s="1027"/>
      <c r="T1845" s="1027"/>
      <c r="U1845" s="1027"/>
      <c r="V1845" s="27"/>
    </row>
    <row r="1846" spans="1:32" s="20" customFormat="1" ht="13.5" customHeight="1">
      <c r="A1846" s="14"/>
      <c r="B1846" s="37"/>
      <c r="C1846" s="37"/>
      <c r="D1846" s="987" t="s">
        <v>147</v>
      </c>
      <c r="E1846" s="1028" t="s">
        <v>601</v>
      </c>
      <c r="F1846" s="988"/>
      <c r="G1846" s="988"/>
      <c r="H1846" s="988"/>
      <c r="I1846" s="988"/>
      <c r="J1846" s="988"/>
      <c r="K1846" s="988"/>
      <c r="L1846" s="988"/>
      <c r="M1846" s="988"/>
      <c r="N1846" s="988"/>
      <c r="O1846" s="989"/>
      <c r="P1846" s="297" t="s">
        <v>143</v>
      </c>
      <c r="Q1846" s="298"/>
      <c r="R1846" s="298"/>
      <c r="S1846" s="298"/>
      <c r="T1846" s="298"/>
      <c r="U1846" s="299"/>
      <c r="V1846" s="27"/>
    </row>
    <row r="1847" spans="1:32" s="20" customFormat="1" ht="24" customHeight="1">
      <c r="A1847" s="14"/>
      <c r="B1847" s="37"/>
      <c r="C1847" s="37"/>
      <c r="D1847" s="1029">
        <v>1</v>
      </c>
      <c r="E1847" s="701" t="s">
        <v>602</v>
      </c>
      <c r="F1847" s="702"/>
      <c r="G1847" s="702"/>
      <c r="H1847" s="702"/>
      <c r="I1847" s="702"/>
      <c r="J1847" s="702"/>
      <c r="K1847" s="702"/>
      <c r="L1847" s="702"/>
      <c r="M1847" s="702"/>
      <c r="N1847" s="702"/>
      <c r="O1847" s="703"/>
      <c r="P1847" s="1030">
        <f>'[1]5.LO'!E86</f>
        <v>0</v>
      </c>
      <c r="Q1847" s="1031"/>
      <c r="R1847" s="1031"/>
      <c r="S1847" s="1031"/>
      <c r="T1847" s="1031"/>
      <c r="U1847" s="1032"/>
      <c r="V1847" s="27"/>
    </row>
    <row r="1848" spans="1:32" s="20" customFormat="1" ht="18" customHeight="1">
      <c r="A1848" s="14"/>
      <c r="B1848" s="37"/>
      <c r="C1848" s="37"/>
      <c r="D1848" s="1029"/>
      <c r="E1848" s="1033" t="s">
        <v>603</v>
      </c>
      <c r="F1848" s="71"/>
      <c r="G1848" s="1003"/>
      <c r="H1848" s="1004"/>
      <c r="I1848" s="1004"/>
      <c r="J1848" s="1004"/>
      <c r="K1848" s="1004"/>
      <c r="L1848" s="1004"/>
      <c r="M1848" s="1003"/>
      <c r="N1848" s="1004"/>
      <c r="O1848" s="1005"/>
      <c r="P1848" s="1030">
        <f>'[1]5.LO'!E87</f>
        <v>0</v>
      </c>
      <c r="Q1848" s="1031"/>
      <c r="R1848" s="1031"/>
      <c r="S1848" s="1031"/>
      <c r="T1848" s="1031"/>
      <c r="U1848" s="1032"/>
      <c r="V1848" s="27"/>
    </row>
    <row r="1849" spans="1:32" s="20" customFormat="1" ht="13.5" customHeight="1">
      <c r="A1849" s="14"/>
      <c r="B1849" s="37"/>
      <c r="C1849" s="37"/>
      <c r="D1849" s="1029"/>
      <c r="E1849" s="1034" t="s">
        <v>604</v>
      </c>
      <c r="F1849" s="71"/>
      <c r="G1849" s="1003"/>
      <c r="H1849" s="1004"/>
      <c r="I1849" s="1004"/>
      <c r="J1849" s="1004"/>
      <c r="K1849" s="1004"/>
      <c r="L1849" s="1004"/>
      <c r="M1849" s="1003"/>
      <c r="N1849" s="1004"/>
      <c r="O1849" s="1005"/>
      <c r="P1849" s="1035">
        <f>'[1]5.LO'!E88</f>
        <v>0</v>
      </c>
      <c r="Q1849" s="1036"/>
      <c r="R1849" s="1036"/>
      <c r="S1849" s="1036"/>
      <c r="T1849" s="1036"/>
      <c r="U1849" s="1037"/>
      <c r="V1849" s="27"/>
    </row>
    <row r="1850" spans="1:32" s="20" customFormat="1" ht="13.5" customHeight="1">
      <c r="A1850" s="14"/>
      <c r="B1850" s="37"/>
      <c r="C1850" s="37"/>
      <c r="D1850" s="1029"/>
      <c r="E1850" s="1038" t="s">
        <v>605</v>
      </c>
      <c r="F1850" s="1001"/>
      <c r="G1850" s="1001"/>
      <c r="H1850" s="1001"/>
      <c r="I1850" s="1001"/>
      <c r="J1850" s="1001"/>
      <c r="K1850" s="1001"/>
      <c r="L1850" s="1001"/>
      <c r="M1850" s="1001"/>
      <c r="N1850" s="1001"/>
      <c r="O1850" s="1002"/>
      <c r="P1850" s="1035">
        <f>'[1]5.LO'!E89</f>
        <v>0</v>
      </c>
      <c r="Q1850" s="1036"/>
      <c r="R1850" s="1036"/>
      <c r="S1850" s="1036"/>
      <c r="T1850" s="1036"/>
      <c r="U1850" s="1037"/>
      <c r="V1850" s="27"/>
    </row>
    <row r="1851" spans="1:32" s="20" customFormat="1" ht="13.5" customHeight="1">
      <c r="A1851" s="14"/>
      <c r="B1851" s="37"/>
      <c r="C1851" s="37"/>
      <c r="D1851" s="1029"/>
      <c r="E1851" s="1034" t="s">
        <v>606</v>
      </c>
      <c r="F1851" s="71"/>
      <c r="G1851" s="1003"/>
      <c r="H1851" s="1004"/>
      <c r="I1851" s="1004"/>
      <c r="J1851" s="1004"/>
      <c r="K1851" s="1004"/>
      <c r="L1851" s="1004"/>
      <c r="M1851" s="1003"/>
      <c r="N1851" s="1004"/>
      <c r="O1851" s="1005"/>
      <c r="P1851" s="1039">
        <v>9000000000</v>
      </c>
      <c r="Q1851" s="1040"/>
      <c r="R1851" s="1040"/>
      <c r="S1851" s="1040"/>
      <c r="T1851" s="1040"/>
      <c r="U1851" s="1041"/>
      <c r="V1851" s="27"/>
    </row>
    <row r="1852" spans="1:32" s="20" customFormat="1" ht="13.5" customHeight="1">
      <c r="A1852" s="14"/>
      <c r="B1852" s="37"/>
      <c r="C1852" s="37"/>
      <c r="D1852" s="1029"/>
      <c r="E1852" s="1033" t="s">
        <v>607</v>
      </c>
      <c r="F1852" s="71"/>
      <c r="G1852" s="1003"/>
      <c r="H1852" s="1004"/>
      <c r="I1852" s="1004"/>
      <c r="J1852" s="1004"/>
      <c r="K1852" s="1004"/>
      <c r="L1852" s="1004"/>
      <c r="M1852" s="1003"/>
      <c r="N1852" s="1004"/>
      <c r="O1852" s="1005"/>
      <c r="P1852" s="1030">
        <f>'[1]5.LO'!E91</f>
        <v>0</v>
      </c>
      <c r="Q1852" s="1031"/>
      <c r="R1852" s="1031"/>
      <c r="S1852" s="1031"/>
      <c r="T1852" s="1031"/>
      <c r="U1852" s="1032"/>
      <c r="V1852" s="27"/>
    </row>
    <row r="1853" spans="1:32" s="20" customFormat="1" ht="13.5" customHeight="1">
      <c r="A1853" s="14"/>
      <c r="B1853" s="37"/>
      <c r="C1853" s="37"/>
      <c r="D1853" s="1029"/>
      <c r="E1853" s="1034" t="s">
        <v>608</v>
      </c>
      <c r="F1853" s="71"/>
      <c r="G1853" s="1003"/>
      <c r="H1853" s="1004"/>
      <c r="I1853" s="1004"/>
      <c r="J1853" s="1004"/>
      <c r="K1853" s="1004"/>
      <c r="L1853" s="1004"/>
      <c r="M1853" s="1003"/>
      <c r="N1853" s="1004"/>
      <c r="O1853" s="1005"/>
      <c r="P1853" s="1035">
        <f>'[1]5.LO'!E92</f>
        <v>0</v>
      </c>
      <c r="Q1853" s="1036"/>
      <c r="R1853" s="1036"/>
      <c r="S1853" s="1036"/>
      <c r="T1853" s="1036"/>
      <c r="U1853" s="1037"/>
      <c r="V1853" s="27"/>
    </row>
    <row r="1854" spans="1:32" s="20" customFormat="1" ht="13.5" customHeight="1">
      <c r="A1854" s="14"/>
      <c r="B1854" s="37"/>
      <c r="C1854" s="37"/>
      <c r="D1854" s="1029"/>
      <c r="E1854" s="1034" t="s">
        <v>609</v>
      </c>
      <c r="F1854" s="71"/>
      <c r="G1854" s="1003"/>
      <c r="H1854" s="1004"/>
      <c r="I1854" s="1004"/>
      <c r="J1854" s="1004"/>
      <c r="K1854" s="1004"/>
      <c r="L1854" s="1004"/>
      <c r="M1854" s="1003"/>
      <c r="N1854" s="1004"/>
      <c r="O1854" s="1005"/>
      <c r="P1854" s="1035">
        <f>'[1]5.LO'!E93</f>
        <v>0</v>
      </c>
      <c r="Q1854" s="1036"/>
      <c r="R1854" s="1036"/>
      <c r="S1854" s="1036"/>
      <c r="T1854" s="1036"/>
      <c r="U1854" s="1037"/>
      <c r="V1854" s="27"/>
    </row>
    <row r="1855" spans="1:32" s="20" customFormat="1" ht="13.5" customHeight="1">
      <c r="A1855" s="14"/>
      <c r="B1855" s="37"/>
      <c r="C1855" s="37"/>
      <c r="D1855" s="1029"/>
      <c r="E1855" s="1034" t="s">
        <v>610</v>
      </c>
      <c r="F1855" s="71"/>
      <c r="G1855" s="1003"/>
      <c r="H1855" s="1004"/>
      <c r="I1855" s="1004"/>
      <c r="J1855" s="1004"/>
      <c r="K1855" s="1004"/>
      <c r="L1855" s="1004"/>
      <c r="M1855" s="1003"/>
      <c r="N1855" s="1004"/>
      <c r="O1855" s="1005"/>
      <c r="P1855" s="1035">
        <f>'[1]5.LO'!E94</f>
        <v>0</v>
      </c>
      <c r="Q1855" s="1036"/>
      <c r="R1855" s="1036"/>
      <c r="S1855" s="1036"/>
      <c r="T1855" s="1036"/>
      <c r="U1855" s="1037"/>
      <c r="V1855" s="27"/>
    </row>
    <row r="1856" spans="1:32" s="20" customFormat="1" ht="13.5" customHeight="1">
      <c r="A1856" s="14"/>
      <c r="B1856" s="37"/>
      <c r="C1856" s="37"/>
      <c r="D1856" s="1029"/>
      <c r="E1856" s="1034" t="s">
        <v>611</v>
      </c>
      <c r="F1856" s="71"/>
      <c r="G1856" s="1003"/>
      <c r="H1856" s="1004"/>
      <c r="I1856" s="1004"/>
      <c r="J1856" s="1004"/>
      <c r="K1856" s="1004"/>
      <c r="L1856" s="1004"/>
      <c r="M1856" s="1003"/>
      <c r="N1856" s="1004"/>
      <c r="O1856" s="1005"/>
      <c r="P1856" s="1035">
        <f>'[1]5.LO'!E95</f>
        <v>0</v>
      </c>
      <c r="Q1856" s="1036"/>
      <c r="R1856" s="1036"/>
      <c r="S1856" s="1036"/>
      <c r="T1856" s="1036"/>
      <c r="U1856" s="1037"/>
      <c r="V1856" s="27"/>
    </row>
    <row r="1857" spans="1:22" s="20" customFormat="1" ht="13.5" customHeight="1">
      <c r="A1857" s="14"/>
      <c r="B1857" s="37"/>
      <c r="C1857" s="37"/>
      <c r="D1857" s="1029"/>
      <c r="E1857" s="1034" t="s">
        <v>612</v>
      </c>
      <c r="F1857" s="71"/>
      <c r="G1857" s="1003"/>
      <c r="H1857" s="1004"/>
      <c r="I1857" s="1004"/>
      <c r="J1857" s="1004"/>
      <c r="K1857" s="1004"/>
      <c r="L1857" s="1004"/>
      <c r="M1857" s="1003"/>
      <c r="N1857" s="1004"/>
      <c r="O1857" s="1005"/>
      <c r="P1857" s="1035">
        <f>'[1]5.LO'!E96</f>
        <v>0</v>
      </c>
      <c r="Q1857" s="1036"/>
      <c r="R1857" s="1036"/>
      <c r="S1857" s="1036"/>
      <c r="T1857" s="1036"/>
      <c r="U1857" s="1037"/>
      <c r="V1857" s="27"/>
    </row>
    <row r="1858" spans="1:22" s="20" customFormat="1" ht="13.5" customHeight="1">
      <c r="A1858" s="14"/>
      <c r="B1858" s="37"/>
      <c r="C1858" s="37"/>
      <c r="D1858" s="1029"/>
      <c r="E1858" s="1034" t="s">
        <v>606</v>
      </c>
      <c r="F1858" s="71"/>
      <c r="G1858" s="991"/>
      <c r="H1858" s="992"/>
      <c r="I1858" s="992"/>
      <c r="J1858" s="992"/>
      <c r="K1858" s="992"/>
      <c r="L1858" s="992"/>
      <c r="M1858" s="991"/>
      <c r="N1858" s="992"/>
      <c r="O1858" s="993"/>
      <c r="P1858" s="1035">
        <f>'[1]5.LO'!E97</f>
        <v>0</v>
      </c>
      <c r="Q1858" s="1036"/>
      <c r="R1858" s="1036"/>
      <c r="S1858" s="1036"/>
      <c r="T1858" s="1036"/>
      <c r="U1858" s="1037"/>
      <c r="V1858" s="27"/>
    </row>
    <row r="1859" spans="1:22" s="20" customFormat="1" ht="13.5" customHeight="1">
      <c r="A1859" s="14"/>
      <c r="B1859" s="37"/>
      <c r="C1859" s="37"/>
      <c r="D1859" s="1029"/>
      <c r="E1859" s="1034" t="s">
        <v>613</v>
      </c>
      <c r="F1859" s="71"/>
      <c r="G1859" s="1003"/>
      <c r="H1859" s="1004"/>
      <c r="I1859" s="1004"/>
      <c r="J1859" s="1004"/>
      <c r="K1859" s="1004"/>
      <c r="L1859" s="1004"/>
      <c r="M1859" s="1003"/>
      <c r="N1859" s="1004"/>
      <c r="O1859" s="1005"/>
      <c r="P1859" s="1035">
        <f>'[1]5.LO'!E98</f>
        <v>0</v>
      </c>
      <c r="Q1859" s="1036"/>
      <c r="R1859" s="1036"/>
      <c r="S1859" s="1036"/>
      <c r="T1859" s="1036"/>
      <c r="U1859" s="1037"/>
      <c r="V1859" s="27"/>
    </row>
    <row r="1860" spans="1:22" s="20" customFormat="1" ht="13.5" customHeight="1">
      <c r="A1860" s="14"/>
      <c r="B1860" s="37"/>
      <c r="C1860" s="37"/>
      <c r="D1860" s="1042"/>
      <c r="E1860" s="1033" t="s">
        <v>614</v>
      </c>
      <c r="F1860" s="71"/>
      <c r="G1860" s="1003"/>
      <c r="H1860" s="1004"/>
      <c r="I1860" s="1004"/>
      <c r="J1860" s="1004"/>
      <c r="K1860" s="1004"/>
      <c r="L1860" s="1004"/>
      <c r="M1860" s="1003"/>
      <c r="N1860" s="1004"/>
      <c r="O1860" s="1005"/>
      <c r="P1860" s="1030">
        <f>'[1]5.LO'!E99</f>
        <v>0</v>
      </c>
      <c r="Q1860" s="1031"/>
      <c r="R1860" s="1031"/>
      <c r="S1860" s="1031"/>
      <c r="T1860" s="1031"/>
      <c r="U1860" s="1032"/>
      <c r="V1860" s="27"/>
    </row>
    <row r="1861" spans="1:22" s="20" customFormat="1" ht="13.5" customHeight="1">
      <c r="A1861" s="14"/>
      <c r="B1861" s="37"/>
      <c r="C1861" s="37"/>
      <c r="D1861" s="1042"/>
      <c r="E1861" s="1034" t="s">
        <v>614</v>
      </c>
      <c r="F1861" s="71"/>
      <c r="G1861" s="1003"/>
      <c r="H1861" s="1004"/>
      <c r="I1861" s="1004"/>
      <c r="J1861" s="1004"/>
      <c r="K1861" s="1004"/>
      <c r="L1861" s="1004"/>
      <c r="M1861" s="1003"/>
      <c r="N1861" s="1004"/>
      <c r="O1861" s="1005"/>
      <c r="P1861" s="1035">
        <f>'[1]5.LO'!E100</f>
        <v>0</v>
      </c>
      <c r="Q1861" s="1036"/>
      <c r="R1861" s="1036"/>
      <c r="S1861" s="1036"/>
      <c r="T1861" s="1036"/>
      <c r="U1861" s="1037"/>
      <c r="V1861" s="27"/>
    </row>
    <row r="1862" spans="1:22" s="20" customFormat="1" ht="13.5" customHeight="1">
      <c r="A1862" s="14"/>
      <c r="B1862" s="37"/>
      <c r="C1862" s="37"/>
      <c r="D1862" s="1042"/>
      <c r="E1862" s="1033" t="s">
        <v>615</v>
      </c>
      <c r="F1862" s="71"/>
      <c r="G1862" s="1003"/>
      <c r="H1862" s="1004"/>
      <c r="I1862" s="1004"/>
      <c r="J1862" s="1004"/>
      <c r="K1862" s="1004"/>
      <c r="L1862" s="1004"/>
      <c r="M1862" s="1003"/>
      <c r="N1862" s="1004"/>
      <c r="O1862" s="1005"/>
      <c r="P1862" s="1030">
        <f>'[1]5.LO'!E101</f>
        <v>0</v>
      </c>
      <c r="Q1862" s="1031"/>
      <c r="R1862" s="1031"/>
      <c r="S1862" s="1031"/>
      <c r="T1862" s="1031"/>
      <c r="U1862" s="1032"/>
      <c r="V1862" s="27"/>
    </row>
    <row r="1863" spans="1:22" s="20" customFormat="1" ht="13.5" customHeight="1">
      <c r="A1863" s="14"/>
      <c r="B1863" s="37"/>
      <c r="C1863" s="37"/>
      <c r="D1863" s="1042"/>
      <c r="E1863" s="1043" t="s">
        <v>616</v>
      </c>
      <c r="F1863" s="71"/>
      <c r="G1863" s="1003"/>
      <c r="H1863" s="1004"/>
      <c r="I1863" s="1004"/>
      <c r="J1863" s="1004"/>
      <c r="K1863" s="1004"/>
      <c r="L1863" s="1004"/>
      <c r="M1863" s="1003"/>
      <c r="N1863" s="1004"/>
      <c r="O1863" s="1005"/>
      <c r="P1863" s="1030">
        <f>'[1]5.LO'!E102</f>
        <v>0</v>
      </c>
      <c r="Q1863" s="1031"/>
      <c r="R1863" s="1031"/>
      <c r="S1863" s="1031"/>
      <c r="T1863" s="1031"/>
      <c r="U1863" s="1032"/>
      <c r="V1863" s="27"/>
    </row>
    <row r="1864" spans="1:22" s="20" customFormat="1" ht="13.5" customHeight="1">
      <c r="A1864" s="14"/>
      <c r="B1864" s="37"/>
      <c r="C1864" s="37"/>
      <c r="D1864" s="1042"/>
      <c r="E1864" s="1034" t="s">
        <v>617</v>
      </c>
      <c r="F1864" s="71"/>
      <c r="G1864" s="1003"/>
      <c r="H1864" s="1004"/>
      <c r="I1864" s="1004"/>
      <c r="J1864" s="1004"/>
      <c r="K1864" s="1004"/>
      <c r="L1864" s="1004"/>
      <c r="M1864" s="1003"/>
      <c r="N1864" s="1004"/>
      <c r="O1864" s="1005"/>
      <c r="P1864" s="1035">
        <f>'[1]5.LO'!E103</f>
        <v>0</v>
      </c>
      <c r="Q1864" s="1036"/>
      <c r="R1864" s="1036"/>
      <c r="S1864" s="1036"/>
      <c r="T1864" s="1036"/>
      <c r="U1864" s="1037"/>
      <c r="V1864" s="27"/>
    </row>
    <row r="1865" spans="1:22" s="20" customFormat="1" ht="13.5" customHeight="1">
      <c r="A1865" s="14"/>
      <c r="B1865" s="37"/>
      <c r="C1865" s="37"/>
      <c r="D1865" s="1042"/>
      <c r="E1865" s="1034" t="s">
        <v>618</v>
      </c>
      <c r="F1865" s="71"/>
      <c r="G1865" s="1003"/>
      <c r="H1865" s="1004"/>
      <c r="I1865" s="1004"/>
      <c r="J1865" s="1004"/>
      <c r="K1865" s="1004"/>
      <c r="L1865" s="1004"/>
      <c r="M1865" s="1003"/>
      <c r="N1865" s="1004"/>
      <c r="O1865" s="1005"/>
      <c r="P1865" s="1035">
        <f>'[1]5.LO'!E104</f>
        <v>0</v>
      </c>
      <c r="Q1865" s="1036"/>
      <c r="R1865" s="1036"/>
      <c r="S1865" s="1036"/>
      <c r="T1865" s="1036"/>
      <c r="U1865" s="1037"/>
      <c r="V1865" s="27"/>
    </row>
    <row r="1866" spans="1:22" s="20" customFormat="1" ht="13.5" customHeight="1">
      <c r="A1866" s="14"/>
      <c r="B1866" s="37"/>
      <c r="C1866" s="37"/>
      <c r="D1866" s="1042"/>
      <c r="E1866" s="1034" t="s">
        <v>619</v>
      </c>
      <c r="F1866" s="71"/>
      <c r="G1866" s="1003"/>
      <c r="H1866" s="1004"/>
      <c r="I1866" s="1004"/>
      <c r="J1866" s="1004"/>
      <c r="K1866" s="1004"/>
      <c r="L1866" s="1004"/>
      <c r="M1866" s="1003"/>
      <c r="N1866" s="1004"/>
      <c r="O1866" s="1005"/>
      <c r="P1866" s="1035">
        <f>'[1]5.LO'!E105</f>
        <v>0</v>
      </c>
      <c r="Q1866" s="1036"/>
      <c r="R1866" s="1036"/>
      <c r="S1866" s="1036"/>
      <c r="T1866" s="1036"/>
      <c r="U1866" s="1037"/>
      <c r="V1866" s="27"/>
    </row>
    <row r="1867" spans="1:22" s="20" customFormat="1" ht="13.5" customHeight="1">
      <c r="A1867" s="14"/>
      <c r="B1867" s="37"/>
      <c r="C1867" s="37"/>
      <c r="D1867" s="1044"/>
      <c r="E1867" s="1034" t="s">
        <v>620</v>
      </c>
      <c r="F1867" s="71"/>
      <c r="G1867" s="1003"/>
      <c r="H1867" s="1004"/>
      <c r="I1867" s="1004"/>
      <c r="J1867" s="1004"/>
      <c r="K1867" s="1004"/>
      <c r="L1867" s="1004"/>
      <c r="M1867" s="1003"/>
      <c r="N1867" s="1004"/>
      <c r="O1867" s="1005"/>
      <c r="P1867" s="1035">
        <f>'[1]5.LO'!E106</f>
        <v>0</v>
      </c>
      <c r="Q1867" s="1036"/>
      <c r="R1867" s="1036"/>
      <c r="S1867" s="1036"/>
      <c r="T1867" s="1036"/>
      <c r="U1867" s="1037"/>
      <c r="V1867" s="27"/>
    </row>
    <row r="1868" spans="1:22" s="20" customFormat="1" ht="13.5" customHeight="1">
      <c r="A1868" s="14"/>
      <c r="B1868" s="37"/>
      <c r="C1868" s="37"/>
      <c r="D1868" s="1042"/>
      <c r="E1868" s="1034" t="s">
        <v>621</v>
      </c>
      <c r="F1868" s="71"/>
      <c r="G1868" s="1003"/>
      <c r="H1868" s="1004"/>
      <c r="I1868" s="1004"/>
      <c r="J1868" s="1004"/>
      <c r="K1868" s="1004"/>
      <c r="L1868" s="1004"/>
      <c r="M1868" s="1003"/>
      <c r="N1868" s="1004"/>
      <c r="O1868" s="1005"/>
      <c r="P1868" s="1035">
        <f>'[1]5.LO'!E107</f>
        <v>0</v>
      </c>
      <c r="Q1868" s="1036"/>
      <c r="R1868" s="1036"/>
      <c r="S1868" s="1036"/>
      <c r="T1868" s="1036"/>
      <c r="U1868" s="1037"/>
      <c r="V1868" s="27"/>
    </row>
    <row r="1869" spans="1:22" s="20" customFormat="1" ht="13.5" customHeight="1">
      <c r="A1869" s="14"/>
      <c r="B1869" s="37"/>
      <c r="C1869" s="37"/>
      <c r="D1869" s="1042"/>
      <c r="E1869" s="1034" t="s">
        <v>622</v>
      </c>
      <c r="F1869" s="71"/>
      <c r="G1869" s="1003"/>
      <c r="H1869" s="1004"/>
      <c r="I1869" s="1004"/>
      <c r="J1869" s="1004"/>
      <c r="K1869" s="1004"/>
      <c r="L1869" s="1004"/>
      <c r="M1869" s="1003"/>
      <c r="N1869" s="1004"/>
      <c r="O1869" s="1005"/>
      <c r="P1869" s="1035">
        <f>'[1]5.LO'!E108</f>
        <v>0</v>
      </c>
      <c r="Q1869" s="1036"/>
      <c r="R1869" s="1036"/>
      <c r="S1869" s="1036"/>
      <c r="T1869" s="1036"/>
      <c r="U1869" s="1037"/>
      <c r="V1869" s="27"/>
    </row>
    <row r="1870" spans="1:22" s="20" customFormat="1" ht="13.5" customHeight="1">
      <c r="A1870" s="14"/>
      <c r="B1870" s="37"/>
      <c r="C1870" s="37"/>
      <c r="D1870" s="1042"/>
      <c r="E1870" s="1034" t="s">
        <v>623</v>
      </c>
      <c r="F1870" s="71"/>
      <c r="G1870" s="1003"/>
      <c r="H1870" s="1004"/>
      <c r="I1870" s="1004"/>
      <c r="J1870" s="1004"/>
      <c r="K1870" s="1004"/>
      <c r="L1870" s="1004"/>
      <c r="M1870" s="1003"/>
      <c r="N1870" s="1004"/>
      <c r="O1870" s="1005"/>
      <c r="P1870" s="1035">
        <f>'[1]5.LO'!E109</f>
        <v>0</v>
      </c>
      <c r="Q1870" s="1036"/>
      <c r="R1870" s="1036"/>
      <c r="S1870" s="1036"/>
      <c r="T1870" s="1036"/>
      <c r="U1870" s="1037"/>
      <c r="V1870" s="27"/>
    </row>
    <row r="1871" spans="1:22" s="20" customFormat="1" ht="13.5" customHeight="1">
      <c r="A1871" s="14"/>
      <c r="B1871" s="37"/>
      <c r="C1871" s="37"/>
      <c r="D1871" s="1042"/>
      <c r="E1871" s="1034" t="s">
        <v>624</v>
      </c>
      <c r="F1871" s="71"/>
      <c r="G1871" s="1003"/>
      <c r="H1871" s="1004"/>
      <c r="I1871" s="1004"/>
      <c r="J1871" s="1004"/>
      <c r="K1871" s="1004"/>
      <c r="L1871" s="1004"/>
      <c r="M1871" s="1003"/>
      <c r="N1871" s="1004"/>
      <c r="O1871" s="1005"/>
      <c r="P1871" s="1035">
        <f>'[1]5.LO'!E110</f>
        <v>0</v>
      </c>
      <c r="Q1871" s="1036"/>
      <c r="R1871" s="1036"/>
      <c r="S1871" s="1036"/>
      <c r="T1871" s="1036"/>
      <c r="U1871" s="1037"/>
      <c r="V1871" s="27"/>
    </row>
    <row r="1872" spans="1:22" s="20" customFormat="1" ht="13.5" customHeight="1">
      <c r="A1872" s="14"/>
      <c r="B1872" s="37"/>
      <c r="C1872" s="37"/>
      <c r="D1872" s="1042"/>
      <c r="E1872" s="1034" t="s">
        <v>625</v>
      </c>
      <c r="F1872" s="71"/>
      <c r="G1872" s="1003"/>
      <c r="H1872" s="1004"/>
      <c r="I1872" s="1004"/>
      <c r="J1872" s="1004"/>
      <c r="K1872" s="1004"/>
      <c r="L1872" s="1004"/>
      <c r="M1872" s="1003"/>
      <c r="N1872" s="1004"/>
      <c r="O1872" s="1005"/>
      <c r="P1872" s="1035">
        <f>'[1]5.LO'!E111</f>
        <v>0</v>
      </c>
      <c r="Q1872" s="1036"/>
      <c r="R1872" s="1036"/>
      <c r="S1872" s="1036"/>
      <c r="T1872" s="1036"/>
      <c r="U1872" s="1037"/>
      <c r="V1872" s="27"/>
    </row>
    <row r="1873" spans="1:22" s="20" customFormat="1" ht="13.5" customHeight="1">
      <c r="A1873" s="14"/>
      <c r="B1873" s="37"/>
      <c r="C1873" s="37"/>
      <c r="D1873" s="1042"/>
      <c r="E1873" s="1034" t="s">
        <v>626</v>
      </c>
      <c r="F1873" s="71"/>
      <c r="G1873" s="1003"/>
      <c r="H1873" s="1004"/>
      <c r="I1873" s="1004"/>
      <c r="J1873" s="1004"/>
      <c r="K1873" s="1004"/>
      <c r="L1873" s="1004"/>
      <c r="M1873" s="1003"/>
      <c r="N1873" s="1004"/>
      <c r="O1873" s="1005"/>
      <c r="P1873" s="1035">
        <f>'[1]5.LO'!E112</f>
        <v>0</v>
      </c>
      <c r="Q1873" s="1036"/>
      <c r="R1873" s="1036"/>
      <c r="S1873" s="1036"/>
      <c r="T1873" s="1036"/>
      <c r="U1873" s="1037"/>
      <c r="V1873" s="27"/>
    </row>
    <row r="1874" spans="1:22" s="20" customFormat="1" ht="13.5" customHeight="1">
      <c r="A1874" s="14"/>
      <c r="B1874" s="37"/>
      <c r="C1874" s="37"/>
      <c r="D1874" s="1042"/>
      <c r="E1874" s="1033" t="s">
        <v>627</v>
      </c>
      <c r="F1874" s="71"/>
      <c r="G1874" s="1003"/>
      <c r="H1874" s="1004"/>
      <c r="I1874" s="1004"/>
      <c r="J1874" s="1004"/>
      <c r="K1874" s="1004"/>
      <c r="L1874" s="1004"/>
      <c r="M1874" s="1003"/>
      <c r="N1874" s="1004"/>
      <c r="O1874" s="1005"/>
      <c r="P1874" s="1030">
        <f>'[1]5.LO'!E113</f>
        <v>0</v>
      </c>
      <c r="Q1874" s="1031"/>
      <c r="R1874" s="1031"/>
      <c r="S1874" s="1031"/>
      <c r="T1874" s="1031"/>
      <c r="U1874" s="1032"/>
      <c r="V1874" s="27"/>
    </row>
    <row r="1875" spans="1:22" s="20" customFormat="1" ht="13.5" customHeight="1">
      <c r="A1875" s="14"/>
      <c r="B1875" s="37"/>
      <c r="C1875" s="37"/>
      <c r="D1875" s="1029"/>
      <c r="E1875" s="1034" t="s">
        <v>628</v>
      </c>
      <c r="F1875" s="71"/>
      <c r="G1875" s="1003"/>
      <c r="H1875" s="1004"/>
      <c r="I1875" s="1004"/>
      <c r="J1875" s="1004"/>
      <c r="K1875" s="1004"/>
      <c r="L1875" s="1004"/>
      <c r="M1875" s="1003"/>
      <c r="N1875" s="1004"/>
      <c r="O1875" s="1005"/>
      <c r="P1875" s="1035">
        <f>'[1]5.LO'!E114</f>
        <v>0</v>
      </c>
      <c r="Q1875" s="1036"/>
      <c r="R1875" s="1036"/>
      <c r="S1875" s="1036"/>
      <c r="T1875" s="1036"/>
      <c r="U1875" s="1037"/>
      <c r="V1875" s="27"/>
    </row>
    <row r="1876" spans="1:22" s="20" customFormat="1" ht="13.5" customHeight="1">
      <c r="A1876" s="14"/>
      <c r="B1876" s="37"/>
      <c r="C1876" s="37"/>
      <c r="D1876" s="1042"/>
      <c r="E1876" s="1034" t="s">
        <v>629</v>
      </c>
      <c r="F1876" s="71"/>
      <c r="G1876" s="1003"/>
      <c r="H1876" s="1004"/>
      <c r="I1876" s="1004"/>
      <c r="J1876" s="1004"/>
      <c r="K1876" s="1004"/>
      <c r="L1876" s="1004"/>
      <c r="M1876" s="1003"/>
      <c r="N1876" s="1004"/>
      <c r="O1876" s="1005"/>
      <c r="P1876" s="1035">
        <f>'[1]5.LO'!E115</f>
        <v>0</v>
      </c>
      <c r="Q1876" s="1036"/>
      <c r="R1876" s="1036"/>
      <c r="S1876" s="1036"/>
      <c r="T1876" s="1036"/>
      <c r="U1876" s="1037"/>
      <c r="V1876" s="27"/>
    </row>
    <row r="1877" spans="1:22" s="20" customFormat="1" ht="13.5" customHeight="1">
      <c r="A1877" s="14"/>
      <c r="B1877" s="37"/>
      <c r="C1877" s="37"/>
      <c r="D1877" s="1042"/>
      <c r="E1877" s="1034" t="s">
        <v>630</v>
      </c>
      <c r="F1877" s="71"/>
      <c r="G1877" s="1003"/>
      <c r="H1877" s="1004"/>
      <c r="I1877" s="1004"/>
      <c r="J1877" s="1004"/>
      <c r="K1877" s="1004"/>
      <c r="L1877" s="1004"/>
      <c r="M1877" s="1003"/>
      <c r="N1877" s="1004"/>
      <c r="O1877" s="1005"/>
      <c r="P1877" s="1035">
        <f>'[1]5.LO'!E116</f>
        <v>0</v>
      </c>
      <c r="Q1877" s="1036"/>
      <c r="R1877" s="1036"/>
      <c r="S1877" s="1036"/>
      <c r="T1877" s="1036"/>
      <c r="U1877" s="1037"/>
      <c r="V1877" s="27"/>
    </row>
    <row r="1878" spans="1:22" s="20" customFormat="1" ht="13.5" customHeight="1">
      <c r="A1878" s="14"/>
      <c r="B1878" s="37"/>
      <c r="C1878" s="37"/>
      <c r="D1878" s="1042"/>
      <c r="E1878" s="1034" t="s">
        <v>631</v>
      </c>
      <c r="F1878" s="71"/>
      <c r="G1878" s="1003"/>
      <c r="H1878" s="1004"/>
      <c r="I1878" s="1004"/>
      <c r="J1878" s="1004"/>
      <c r="K1878" s="1004"/>
      <c r="L1878" s="1004"/>
      <c r="M1878" s="1003"/>
      <c r="N1878" s="1004"/>
      <c r="O1878" s="1005"/>
      <c r="P1878" s="1035">
        <f>'[1]5.LO'!E117</f>
        <v>0</v>
      </c>
      <c r="Q1878" s="1036"/>
      <c r="R1878" s="1036"/>
      <c r="S1878" s="1036"/>
      <c r="T1878" s="1036"/>
      <c r="U1878" s="1037"/>
      <c r="V1878" s="27"/>
    </row>
    <row r="1879" spans="1:22" s="20" customFormat="1" ht="13.5" customHeight="1">
      <c r="A1879" s="14"/>
      <c r="B1879" s="37"/>
      <c r="C1879" s="37"/>
      <c r="D1879" s="1029"/>
      <c r="E1879" s="1034" t="s">
        <v>632</v>
      </c>
      <c r="F1879" s="71"/>
      <c r="G1879" s="991"/>
      <c r="H1879" s="992"/>
      <c r="I1879" s="992"/>
      <c r="J1879" s="992"/>
      <c r="K1879" s="992"/>
      <c r="L1879" s="992"/>
      <c r="M1879" s="991"/>
      <c r="N1879" s="992"/>
      <c r="O1879" s="993"/>
      <c r="P1879" s="1035">
        <f>'[1]5.LO'!E118</f>
        <v>0</v>
      </c>
      <c r="Q1879" s="1036"/>
      <c r="R1879" s="1036"/>
      <c r="S1879" s="1036"/>
      <c r="T1879" s="1036"/>
      <c r="U1879" s="1037"/>
      <c r="V1879" s="27"/>
    </row>
    <row r="1880" spans="1:22" s="20" customFormat="1" ht="13.5" customHeight="1">
      <c r="A1880" s="14"/>
      <c r="B1880" s="37"/>
      <c r="C1880" s="37"/>
      <c r="D1880" s="1029"/>
      <c r="E1880" s="1034" t="s">
        <v>633</v>
      </c>
      <c r="F1880" s="71"/>
      <c r="G1880" s="1003"/>
      <c r="H1880" s="1004"/>
      <c r="I1880" s="1004"/>
      <c r="J1880" s="1004"/>
      <c r="K1880" s="1004"/>
      <c r="L1880" s="1004"/>
      <c r="M1880" s="1003"/>
      <c r="N1880" s="1004"/>
      <c r="O1880" s="1005"/>
      <c r="P1880" s="1035">
        <f>'[1]5.LO'!E119</f>
        <v>0</v>
      </c>
      <c r="Q1880" s="1036"/>
      <c r="R1880" s="1036"/>
      <c r="S1880" s="1036"/>
      <c r="T1880" s="1036"/>
      <c r="U1880" s="1037"/>
      <c r="V1880" s="27"/>
    </row>
    <row r="1881" spans="1:22" s="20" customFormat="1" ht="13.5" customHeight="1">
      <c r="A1881" s="14"/>
      <c r="B1881" s="37"/>
      <c r="C1881" s="37"/>
      <c r="D1881" s="1042"/>
      <c r="E1881" s="1034" t="s">
        <v>634</v>
      </c>
      <c r="F1881" s="71"/>
      <c r="G1881" s="1003"/>
      <c r="H1881" s="1004"/>
      <c r="I1881" s="1004"/>
      <c r="J1881" s="1004"/>
      <c r="K1881" s="1004"/>
      <c r="L1881" s="1004"/>
      <c r="M1881" s="1003"/>
      <c r="N1881" s="1004"/>
      <c r="O1881" s="1005"/>
      <c r="P1881" s="1035">
        <f>'[1]5.LO'!E120</f>
        <v>0</v>
      </c>
      <c r="Q1881" s="1036"/>
      <c r="R1881" s="1036"/>
      <c r="S1881" s="1036"/>
      <c r="T1881" s="1036"/>
      <c r="U1881" s="1037"/>
      <c r="V1881" s="27"/>
    </row>
    <row r="1882" spans="1:22" s="20" customFormat="1" ht="13.5" customHeight="1">
      <c r="A1882" s="14"/>
      <c r="B1882" s="37"/>
      <c r="C1882" s="37"/>
      <c r="D1882" s="1042">
        <v>2</v>
      </c>
      <c r="E1882" s="1033" t="s">
        <v>635</v>
      </c>
      <c r="F1882" s="1033"/>
      <c r="G1882" s="1003"/>
      <c r="H1882" s="1004"/>
      <c r="I1882" s="1004"/>
      <c r="J1882" s="1004"/>
      <c r="K1882" s="1004"/>
      <c r="L1882" s="1004"/>
      <c r="M1882" s="1003"/>
      <c r="N1882" s="1004"/>
      <c r="O1882" s="1005"/>
      <c r="P1882" s="1030">
        <f>'[1]5.LO'!E121</f>
        <v>0</v>
      </c>
      <c r="Q1882" s="1031"/>
      <c r="R1882" s="1031"/>
      <c r="S1882" s="1031"/>
      <c r="T1882" s="1031"/>
      <c r="U1882" s="1032"/>
      <c r="V1882" s="27"/>
    </row>
    <row r="1883" spans="1:22" s="20" customFormat="1" ht="20.25" customHeight="1">
      <c r="A1883" s="14"/>
      <c r="B1883" s="37"/>
      <c r="C1883" s="37"/>
      <c r="D1883" s="1042"/>
      <c r="E1883" s="1045" t="s">
        <v>636</v>
      </c>
      <c r="F1883" s="71"/>
      <c r="G1883" s="1003"/>
      <c r="H1883" s="1004"/>
      <c r="I1883" s="1004"/>
      <c r="J1883" s="1004"/>
      <c r="K1883" s="1004"/>
      <c r="L1883" s="1004"/>
      <c r="M1883" s="1003"/>
      <c r="N1883" s="1004"/>
      <c r="O1883" s="1005"/>
      <c r="P1883" s="1035">
        <f>'[1]5.LO'!E122</f>
        <v>0</v>
      </c>
      <c r="Q1883" s="1036"/>
      <c r="R1883" s="1036"/>
      <c r="S1883" s="1036"/>
      <c r="T1883" s="1036"/>
      <c r="U1883" s="1037"/>
      <c r="V1883" s="27"/>
    </row>
    <row r="1884" spans="1:22" s="20" customFormat="1" ht="21" customHeight="1">
      <c r="A1884" s="14"/>
      <c r="B1884" s="37"/>
      <c r="C1884" s="37"/>
      <c r="D1884" s="1042"/>
      <c r="E1884" s="1045" t="s">
        <v>637</v>
      </c>
      <c r="F1884" s="71"/>
      <c r="G1884" s="1003"/>
      <c r="H1884" s="1004"/>
      <c r="I1884" s="1004"/>
      <c r="J1884" s="1004"/>
      <c r="K1884" s="1004"/>
      <c r="L1884" s="1004"/>
      <c r="M1884" s="1003"/>
      <c r="N1884" s="1004"/>
      <c r="O1884" s="1005"/>
      <c r="P1884" s="1035">
        <f>'[1]5.LO'!E123</f>
        <v>0</v>
      </c>
      <c r="Q1884" s="1036"/>
      <c r="R1884" s="1036"/>
      <c r="S1884" s="1036"/>
      <c r="T1884" s="1036"/>
      <c r="U1884" s="1037"/>
      <c r="V1884" s="27"/>
    </row>
    <row r="1885" spans="1:22" s="20" customFormat="1" ht="27" customHeight="1">
      <c r="A1885" s="14"/>
      <c r="B1885" s="37"/>
      <c r="C1885" s="37"/>
      <c r="D1885" s="1042">
        <v>3</v>
      </c>
      <c r="E1885" s="1033" t="s">
        <v>638</v>
      </c>
      <c r="F1885" s="1033"/>
      <c r="G1885" s="1003"/>
      <c r="H1885" s="1004"/>
      <c r="I1885" s="1004"/>
      <c r="J1885" s="1004"/>
      <c r="K1885" s="1004"/>
      <c r="L1885" s="1004"/>
      <c r="M1885" s="1003"/>
      <c r="N1885" s="1004"/>
      <c r="O1885" s="1005"/>
      <c r="P1885" s="1030">
        <f>'[1]5.LO'!E124</f>
        <v>0</v>
      </c>
      <c r="Q1885" s="1031"/>
      <c r="R1885" s="1031"/>
      <c r="S1885" s="1031"/>
      <c r="T1885" s="1031"/>
      <c r="U1885" s="1032"/>
      <c r="V1885" s="27"/>
    </row>
    <row r="1886" spans="1:22" s="20" customFormat="1" ht="13.5" customHeight="1">
      <c r="A1886" s="14"/>
      <c r="B1886" s="37"/>
      <c r="C1886" s="37"/>
      <c r="D1886" s="1042"/>
      <c r="E1886" s="1033" t="s">
        <v>639</v>
      </c>
      <c r="F1886" s="71"/>
      <c r="G1886" s="1003"/>
      <c r="H1886" s="1004"/>
      <c r="I1886" s="1004"/>
      <c r="J1886" s="1004"/>
      <c r="K1886" s="1004"/>
      <c r="L1886" s="1004"/>
      <c r="M1886" s="1003"/>
      <c r="N1886" s="1004"/>
      <c r="O1886" s="1005"/>
      <c r="P1886" s="1030">
        <f>'[1]5.LO'!E125</f>
        <v>0</v>
      </c>
      <c r="Q1886" s="1031"/>
      <c r="R1886" s="1031"/>
      <c r="S1886" s="1031"/>
      <c r="T1886" s="1031"/>
      <c r="U1886" s="1032"/>
      <c r="V1886" s="27"/>
    </row>
    <row r="1887" spans="1:22" s="20" customFormat="1" ht="13.5" customHeight="1">
      <c r="A1887" s="14"/>
      <c r="B1887" s="37"/>
      <c r="C1887" s="37"/>
      <c r="D1887" s="1029"/>
      <c r="E1887" s="1043" t="s">
        <v>640</v>
      </c>
      <c r="F1887" s="71"/>
      <c r="G1887" s="1003"/>
      <c r="H1887" s="1004"/>
      <c r="I1887" s="1004"/>
      <c r="J1887" s="1004"/>
      <c r="K1887" s="1004"/>
      <c r="L1887" s="1004"/>
      <c r="M1887" s="1003"/>
      <c r="N1887" s="1004"/>
      <c r="O1887" s="1005"/>
      <c r="P1887" s="1030">
        <f>'[1]5.LO'!E126</f>
        <v>0</v>
      </c>
      <c r="Q1887" s="1031"/>
      <c r="R1887" s="1031"/>
      <c r="S1887" s="1031"/>
      <c r="T1887" s="1031"/>
      <c r="U1887" s="1032"/>
      <c r="V1887" s="27"/>
    </row>
    <row r="1888" spans="1:22" s="20" customFormat="1" ht="24.75" customHeight="1">
      <c r="A1888" s="14"/>
      <c r="B1888" s="37"/>
      <c r="C1888" s="37"/>
      <c r="D1888" s="1042"/>
      <c r="E1888" s="1034" t="s">
        <v>641</v>
      </c>
      <c r="F1888" s="71"/>
      <c r="G1888" s="1003"/>
      <c r="H1888" s="1004"/>
      <c r="I1888" s="1004"/>
      <c r="J1888" s="1004"/>
      <c r="K1888" s="1004"/>
      <c r="L1888" s="1004"/>
      <c r="M1888" s="1003"/>
      <c r="N1888" s="1004"/>
      <c r="O1888" s="1005"/>
      <c r="P1888" s="1035">
        <f>'[1]5.LO'!E127</f>
        <v>0</v>
      </c>
      <c r="Q1888" s="1036"/>
      <c r="R1888" s="1036"/>
      <c r="S1888" s="1036"/>
      <c r="T1888" s="1036"/>
      <c r="U1888" s="1037"/>
      <c r="V1888" s="27"/>
    </row>
    <row r="1889" spans="1:22" s="20" customFormat="1" ht="27.75" customHeight="1">
      <c r="A1889" s="14"/>
      <c r="B1889" s="37"/>
      <c r="C1889" s="37"/>
      <c r="D1889" s="1042"/>
      <c r="E1889" s="1038" t="s">
        <v>642</v>
      </c>
      <c r="F1889" s="1001"/>
      <c r="G1889" s="1001"/>
      <c r="H1889" s="1001"/>
      <c r="I1889" s="1001"/>
      <c r="J1889" s="1001"/>
      <c r="K1889" s="1001"/>
      <c r="L1889" s="1001"/>
      <c r="M1889" s="1001"/>
      <c r="N1889" s="1001"/>
      <c r="O1889" s="1002"/>
      <c r="P1889" s="1035">
        <f>'[1]5.LO'!E128</f>
        <v>0</v>
      </c>
      <c r="Q1889" s="1036"/>
      <c r="R1889" s="1036"/>
      <c r="S1889" s="1036"/>
      <c r="T1889" s="1036"/>
      <c r="U1889" s="1037"/>
      <c r="V1889" s="27"/>
    </row>
    <row r="1890" spans="1:22" s="20" customFormat="1" ht="27" customHeight="1">
      <c r="A1890" s="14"/>
      <c r="B1890" s="37"/>
      <c r="C1890" s="37"/>
      <c r="D1890" s="1029"/>
      <c r="E1890" s="1038" t="s">
        <v>643</v>
      </c>
      <c r="F1890" s="1001"/>
      <c r="G1890" s="1001"/>
      <c r="H1890" s="1001"/>
      <c r="I1890" s="1001"/>
      <c r="J1890" s="1001"/>
      <c r="K1890" s="1001"/>
      <c r="L1890" s="1001"/>
      <c r="M1890" s="1001"/>
      <c r="N1890" s="1001"/>
      <c r="O1890" s="1002"/>
      <c r="P1890" s="1035">
        <f>'[1]5.LO'!E129</f>
        <v>0</v>
      </c>
      <c r="Q1890" s="1036"/>
      <c r="R1890" s="1036"/>
      <c r="S1890" s="1036"/>
      <c r="T1890" s="1036"/>
      <c r="U1890" s="1037"/>
      <c r="V1890" s="27"/>
    </row>
    <row r="1891" spans="1:22" s="20" customFormat="1" ht="24.75" customHeight="1">
      <c r="A1891" s="14"/>
      <c r="B1891" s="37"/>
      <c r="C1891" s="37"/>
      <c r="D1891" s="1029"/>
      <c r="E1891" s="1038" t="s">
        <v>644</v>
      </c>
      <c r="F1891" s="1001"/>
      <c r="G1891" s="1001"/>
      <c r="H1891" s="1001"/>
      <c r="I1891" s="1001"/>
      <c r="J1891" s="1001"/>
      <c r="K1891" s="1001"/>
      <c r="L1891" s="1001"/>
      <c r="M1891" s="1001"/>
      <c r="N1891" s="1001"/>
      <c r="O1891" s="1002"/>
      <c r="P1891" s="1035">
        <f>'[1]5.LO'!E130</f>
        <v>0</v>
      </c>
      <c r="Q1891" s="1036"/>
      <c r="R1891" s="1036"/>
      <c r="S1891" s="1036"/>
      <c r="T1891" s="1036"/>
      <c r="U1891" s="1037"/>
      <c r="V1891" s="27"/>
    </row>
    <row r="1892" spans="1:22" s="20" customFormat="1" ht="24" customHeight="1">
      <c r="A1892" s="14"/>
      <c r="B1892" s="37"/>
      <c r="C1892" s="37"/>
      <c r="D1892" s="1042"/>
      <c r="E1892" s="1034" t="s">
        <v>645</v>
      </c>
      <c r="F1892" s="71"/>
      <c r="G1892" s="1003"/>
      <c r="H1892" s="1004"/>
      <c r="I1892" s="1004"/>
      <c r="J1892" s="1004"/>
      <c r="K1892" s="1004"/>
      <c r="L1892" s="1004"/>
      <c r="M1892" s="1003"/>
      <c r="N1892" s="1004"/>
      <c r="O1892" s="1005"/>
      <c r="P1892" s="1035">
        <f>'[1]5.LO'!E131</f>
        <v>0</v>
      </c>
      <c r="Q1892" s="1036"/>
      <c r="R1892" s="1036"/>
      <c r="S1892" s="1036"/>
      <c r="T1892" s="1036"/>
      <c r="U1892" s="1037"/>
      <c r="V1892" s="27"/>
    </row>
    <row r="1893" spans="1:22" s="20" customFormat="1" ht="21.75" customHeight="1">
      <c r="A1893" s="14"/>
      <c r="B1893" s="37"/>
      <c r="C1893" s="37"/>
      <c r="D1893" s="1042"/>
      <c r="E1893" s="1033" t="s">
        <v>646</v>
      </c>
      <c r="F1893" s="71"/>
      <c r="G1893" s="1003"/>
      <c r="H1893" s="1004"/>
      <c r="I1893" s="1004"/>
      <c r="J1893" s="1004"/>
      <c r="K1893" s="1004"/>
      <c r="L1893" s="1004"/>
      <c r="M1893" s="1003"/>
      <c r="N1893" s="1004"/>
      <c r="O1893" s="1005"/>
      <c r="P1893" s="1035">
        <f>'[1]5.LO'!E132</f>
        <v>0</v>
      </c>
      <c r="Q1893" s="1036"/>
      <c r="R1893" s="1036"/>
      <c r="S1893" s="1036"/>
      <c r="T1893" s="1036"/>
      <c r="U1893" s="1037"/>
      <c r="V1893" s="27"/>
    </row>
    <row r="1894" spans="1:22" s="20" customFormat="1" ht="26.25" customHeight="1">
      <c r="A1894" s="14"/>
      <c r="B1894" s="37"/>
      <c r="C1894" s="37"/>
      <c r="D1894" s="1015" t="s">
        <v>647</v>
      </c>
      <c r="E1894" s="1016"/>
      <c r="F1894" s="1016"/>
      <c r="G1894" s="1016"/>
      <c r="H1894" s="1016"/>
      <c r="I1894" s="1016"/>
      <c r="J1894" s="1016"/>
      <c r="K1894" s="1016"/>
      <c r="L1894" s="1016"/>
      <c r="M1894" s="1016"/>
      <c r="N1894" s="1016"/>
      <c r="O1894" s="1017"/>
      <c r="P1894" s="1030">
        <f>P1885+P1882+P1847</f>
        <v>0</v>
      </c>
      <c r="Q1894" s="1031"/>
      <c r="R1894" s="1031"/>
      <c r="S1894" s="1031"/>
      <c r="T1894" s="1031"/>
      <c r="U1894" s="1032"/>
      <c r="V1894" s="27"/>
    </row>
    <row r="1895" spans="1:22" s="20" customFormat="1" ht="14.25" customHeight="1">
      <c r="A1895" s="14"/>
      <c r="B1895" s="37"/>
      <c r="C1895" s="37"/>
      <c r="D1895" s="37"/>
      <c r="E1895" s="37"/>
      <c r="F1895" s="37"/>
      <c r="G1895" s="37"/>
      <c r="H1895" s="37"/>
      <c r="I1895" s="37"/>
      <c r="J1895" s="37"/>
      <c r="K1895" s="37"/>
      <c r="L1895" s="37"/>
      <c r="M1895" s="37"/>
      <c r="N1895" s="37"/>
      <c r="O1895" s="37"/>
      <c r="P1895" s="37"/>
      <c r="Q1895" s="37"/>
      <c r="R1895" s="37"/>
      <c r="S1895" s="37"/>
      <c r="T1895" s="37"/>
      <c r="U1895" s="37"/>
      <c r="V1895" s="27"/>
    </row>
    <row r="1896" spans="1:22" s="20" customFormat="1" ht="14.25" customHeight="1">
      <c r="A1896" s="14"/>
      <c r="B1896" s="37"/>
      <c r="C1896" s="1046" t="s">
        <v>113</v>
      </c>
      <c r="D1896" s="985" t="s">
        <v>180</v>
      </c>
      <c r="E1896" s="985"/>
      <c r="F1896" s="985"/>
      <c r="G1896" s="985"/>
      <c r="H1896" s="985"/>
      <c r="I1896" s="985"/>
      <c r="J1896" s="985"/>
      <c r="K1896" s="985"/>
      <c r="L1896" s="985"/>
      <c r="M1896" s="985"/>
      <c r="N1896" s="985"/>
      <c r="O1896" s="985"/>
      <c r="P1896" s="985"/>
      <c r="Q1896" s="985"/>
      <c r="R1896" s="985"/>
      <c r="S1896" s="985"/>
      <c r="T1896" s="985"/>
      <c r="U1896" s="985"/>
      <c r="V1896" s="27"/>
    </row>
    <row r="1897" spans="1:22" s="20" customFormat="1" ht="50.25" customHeight="1">
      <c r="A1897" s="14"/>
      <c r="B1897" s="37"/>
      <c r="D1897" s="313" t="str">
        <f>"Akun ini menggambarkan realisasi Lain-lain Pendapatan Daerah Yang Sah  untuk periode Tahun Anggaran "&amp;'[1]2.ISIAN DATA SKPD'!D11&amp;" dan " &amp;'[1]2.ISIAN DATA SKPD'!D12&amp;"  dengan rincian  sebagai berikut :"</f>
        <v>Akun ini menggambarkan realisasi Lain-lain Pendapatan Daerah Yang Sah  untuk periode Tahun Anggaran 2017 dan 2016  dengan rincian  sebagai berikut :</v>
      </c>
      <c r="E1897" s="313"/>
      <c r="F1897" s="313"/>
      <c r="G1897" s="313"/>
      <c r="H1897" s="313"/>
      <c r="I1897" s="313"/>
      <c r="J1897" s="313"/>
      <c r="K1897" s="313"/>
      <c r="L1897" s="313"/>
      <c r="M1897" s="313"/>
      <c r="N1897" s="313"/>
      <c r="O1897" s="313"/>
      <c r="P1897" s="313"/>
      <c r="Q1897" s="313"/>
      <c r="R1897" s="313"/>
      <c r="S1897" s="313"/>
      <c r="T1897" s="313"/>
      <c r="U1897" s="313"/>
      <c r="V1897" s="27"/>
    </row>
    <row r="1898" spans="1:22" s="20" customFormat="1" ht="21" customHeight="1">
      <c r="A1898" s="14"/>
      <c r="B1898" s="37"/>
      <c r="D1898" s="285"/>
      <c r="E1898" s="285"/>
      <c r="F1898" s="285"/>
      <c r="G1898" s="285"/>
      <c r="H1898" s="285"/>
      <c r="I1898" s="285"/>
      <c r="J1898" s="285"/>
      <c r="K1898" s="285"/>
      <c r="L1898" s="285"/>
      <c r="M1898" s="285"/>
      <c r="N1898" s="285"/>
      <c r="O1898" s="285"/>
      <c r="P1898" s="285"/>
      <c r="Q1898" s="285"/>
      <c r="R1898" s="285"/>
      <c r="S1898" s="285"/>
      <c r="T1898" s="285"/>
      <c r="U1898" s="285"/>
      <c r="V1898" s="27"/>
    </row>
    <row r="1899" spans="1:22" s="20" customFormat="1" ht="24" customHeight="1">
      <c r="A1899" s="303" t="s">
        <v>84</v>
      </c>
      <c r="B1899" s="304"/>
      <c r="C1899" s="304"/>
      <c r="D1899" s="304"/>
      <c r="E1899" s="304"/>
      <c r="F1899" s="304"/>
      <c r="G1899" s="304"/>
      <c r="H1899" s="305"/>
      <c r="I1899" s="303" t="str">
        <f>G1735</f>
        <v>TA 2017</v>
      </c>
      <c r="J1899" s="304"/>
      <c r="K1899" s="304"/>
      <c r="L1899" s="304"/>
      <c r="M1899" s="304"/>
      <c r="N1899" s="305"/>
      <c r="O1899" s="303" t="str">
        <f>M1735</f>
        <v>TA 2016</v>
      </c>
      <c r="P1899" s="304"/>
      <c r="Q1899" s="304"/>
      <c r="R1899" s="304"/>
      <c r="S1899" s="304"/>
      <c r="T1899" s="304"/>
      <c r="U1899" s="305"/>
      <c r="V1899" s="27"/>
    </row>
    <row r="1900" spans="1:22" s="20" customFormat="1" ht="20.25" customHeight="1">
      <c r="A1900" s="1047" t="s">
        <v>648</v>
      </c>
      <c r="B1900" s="1048"/>
      <c r="C1900" s="71"/>
      <c r="D1900" s="71"/>
      <c r="E1900" s="1049"/>
      <c r="F1900" s="1049"/>
      <c r="G1900" s="1049"/>
      <c r="H1900" s="1049"/>
      <c r="I1900" s="940">
        <f>'[1]5.LO'!E135</f>
        <v>0</v>
      </c>
      <c r="J1900" s="941"/>
      <c r="K1900" s="941"/>
      <c r="L1900" s="941"/>
      <c r="M1900" s="941"/>
      <c r="N1900" s="942"/>
      <c r="O1900" s="940">
        <f>'[1]5.LO'!F135</f>
        <v>0</v>
      </c>
      <c r="P1900" s="941"/>
      <c r="Q1900" s="941"/>
      <c r="R1900" s="941"/>
      <c r="S1900" s="941"/>
      <c r="T1900" s="941"/>
      <c r="U1900" s="942"/>
      <c r="V1900" s="27"/>
    </row>
    <row r="1901" spans="1:22" s="20" customFormat="1" ht="14.25" customHeight="1">
      <c r="A1901" s="1047" t="s">
        <v>649</v>
      </c>
      <c r="B1901" s="1048"/>
      <c r="C1901" s="71"/>
      <c r="D1901" s="71"/>
      <c r="E1901" s="1049"/>
      <c r="F1901" s="1049"/>
      <c r="G1901" s="1049"/>
      <c r="H1901" s="1049"/>
      <c r="I1901" s="940">
        <v>0</v>
      </c>
      <c r="J1901" s="941"/>
      <c r="K1901" s="941"/>
      <c r="L1901" s="941"/>
      <c r="M1901" s="941"/>
      <c r="N1901" s="942"/>
      <c r="O1901" s="940">
        <f>'[1]5.LO'!F137</f>
        <v>0</v>
      </c>
      <c r="P1901" s="941"/>
      <c r="Q1901" s="941"/>
      <c r="R1901" s="941"/>
      <c r="S1901" s="941"/>
      <c r="T1901" s="941"/>
      <c r="U1901" s="942"/>
      <c r="V1901" s="27"/>
    </row>
    <row r="1902" spans="1:22" s="20" customFormat="1" ht="14.25" customHeight="1">
      <c r="A1902" s="1047" t="s">
        <v>650</v>
      </c>
      <c r="B1902" s="1048"/>
      <c r="C1902" s="71"/>
      <c r="D1902" s="71"/>
      <c r="E1902" s="1049"/>
      <c r="F1902" s="1049"/>
      <c r="G1902" s="1049"/>
      <c r="H1902" s="1049"/>
      <c r="I1902" s="940">
        <v>0</v>
      </c>
      <c r="J1902" s="941"/>
      <c r="K1902" s="941"/>
      <c r="L1902" s="941"/>
      <c r="M1902" s="941"/>
      <c r="N1902" s="942"/>
      <c r="O1902" s="940">
        <f>'[1]5.LO'!F138</f>
        <v>0</v>
      </c>
      <c r="P1902" s="941"/>
      <c r="Q1902" s="941"/>
      <c r="R1902" s="941"/>
      <c r="S1902" s="941"/>
      <c r="T1902" s="941"/>
      <c r="U1902" s="942"/>
      <c r="V1902" s="27"/>
    </row>
    <row r="1903" spans="1:22" s="20" customFormat="1" ht="14.25" customHeight="1">
      <c r="A1903" s="411" t="s">
        <v>143</v>
      </c>
      <c r="B1903" s="454"/>
      <c r="C1903" s="454"/>
      <c r="D1903" s="454"/>
      <c r="E1903" s="454"/>
      <c r="F1903" s="454"/>
      <c r="G1903" s="454"/>
      <c r="H1903" s="455"/>
      <c r="I1903" s="994">
        <f>SUM(I1900:R1902)</f>
        <v>0</v>
      </c>
      <c r="J1903" s="995"/>
      <c r="K1903" s="995"/>
      <c r="L1903" s="995"/>
      <c r="M1903" s="995"/>
      <c r="N1903" s="996"/>
      <c r="O1903" s="994">
        <f>SUM(O1900:U1902)</f>
        <v>0</v>
      </c>
      <c r="P1903" s="995"/>
      <c r="Q1903" s="995"/>
      <c r="R1903" s="995"/>
      <c r="S1903" s="995"/>
      <c r="T1903" s="995"/>
      <c r="U1903" s="996"/>
      <c r="V1903" s="27"/>
    </row>
    <row r="1904" spans="1:22" s="20" customFormat="1" ht="14.25" customHeight="1">
      <c r="A1904" s="1050"/>
      <c r="B1904" s="1050"/>
      <c r="C1904" s="1050"/>
      <c r="D1904" s="1050"/>
      <c r="E1904" s="1050"/>
      <c r="F1904" s="1050"/>
      <c r="G1904" s="1050"/>
      <c r="H1904" s="1050"/>
      <c r="I1904" s="1051"/>
      <c r="J1904" s="1051"/>
      <c r="K1904" s="1051"/>
      <c r="L1904" s="1051"/>
      <c r="M1904" s="1051"/>
      <c r="N1904" s="1051"/>
      <c r="O1904" s="1051"/>
      <c r="P1904" s="1051"/>
      <c r="Q1904" s="1051"/>
      <c r="R1904" s="1051"/>
      <c r="S1904" s="1051"/>
      <c r="T1904" s="1051"/>
      <c r="U1904" s="1051"/>
      <c r="V1904" s="27"/>
    </row>
    <row r="1905" spans="1:22" s="20" customFormat="1" ht="35.25" customHeight="1">
      <c r="A1905" s="14"/>
      <c r="B1905" s="37"/>
      <c r="C1905" s="37"/>
      <c r="D1905" s="568" t="str">
        <f>"Adapun rincian Lain-lain Pendapatan Yang Sah  per "&amp;'[1]2.ISIAN DATA SKPD'!D8&amp;" sebagaimana berikut :"</f>
        <v>Adapun rincian Lain-lain Pendapatan Yang Sah  per 31 Desember 2017 sebagaimana berikut :</v>
      </c>
      <c r="E1905" s="568"/>
      <c r="F1905" s="568"/>
      <c r="G1905" s="568"/>
      <c r="H1905" s="568"/>
      <c r="I1905" s="568"/>
      <c r="J1905" s="568"/>
      <c r="K1905" s="568"/>
      <c r="L1905" s="568"/>
      <c r="M1905" s="568"/>
      <c r="N1905" s="568"/>
      <c r="O1905" s="568"/>
      <c r="P1905" s="568"/>
      <c r="Q1905" s="568"/>
      <c r="R1905" s="568"/>
      <c r="S1905" s="568"/>
      <c r="T1905" s="568"/>
      <c r="U1905" s="568"/>
      <c r="V1905" s="27"/>
    </row>
    <row r="1906" spans="1:22" s="20" customFormat="1" ht="14.25" customHeight="1">
      <c r="A1906" s="14"/>
      <c r="B1906" s="37"/>
      <c r="C1906" s="37"/>
      <c r="D1906" s="987" t="s">
        <v>147</v>
      </c>
      <c r="E1906" s="988" t="s">
        <v>651</v>
      </c>
      <c r="F1906" s="988"/>
      <c r="G1906" s="988"/>
      <c r="H1906" s="988"/>
      <c r="I1906" s="988"/>
      <c r="J1906" s="988"/>
      <c r="K1906" s="988"/>
      <c r="L1906" s="988"/>
      <c r="M1906" s="988"/>
      <c r="N1906" s="988"/>
      <c r="O1906" s="989"/>
      <c r="P1906" s="306" t="s">
        <v>143</v>
      </c>
      <c r="Q1906" s="307"/>
      <c r="R1906" s="307"/>
      <c r="S1906" s="307"/>
      <c r="T1906" s="307"/>
      <c r="U1906" s="308"/>
      <c r="V1906" s="27"/>
    </row>
    <row r="1907" spans="1:22" s="20" customFormat="1" ht="14.25" customHeight="1">
      <c r="A1907" s="14"/>
      <c r="B1907" s="37"/>
      <c r="C1907" s="37"/>
      <c r="D1907" s="987">
        <v>1</v>
      </c>
      <c r="E1907" s="1033" t="s">
        <v>648</v>
      </c>
      <c r="F1907" s="1052"/>
      <c r="G1907" s="991"/>
      <c r="H1907" s="992"/>
      <c r="I1907" s="992"/>
      <c r="J1907" s="992"/>
      <c r="K1907" s="992"/>
      <c r="L1907" s="992"/>
      <c r="M1907" s="991"/>
      <c r="N1907" s="992"/>
      <c r="O1907" s="993"/>
      <c r="P1907" s="994">
        <f>'[1]5.LO'!E135</f>
        <v>0</v>
      </c>
      <c r="Q1907" s="995"/>
      <c r="R1907" s="995"/>
      <c r="S1907" s="995"/>
      <c r="T1907" s="995"/>
      <c r="U1907" s="996"/>
      <c r="V1907" s="27"/>
    </row>
    <row r="1908" spans="1:22" s="20" customFormat="1" ht="14.25" customHeight="1">
      <c r="A1908" s="14"/>
      <c r="B1908" s="37"/>
      <c r="C1908" s="37"/>
      <c r="D1908" s="987"/>
      <c r="E1908" s="1053"/>
      <c r="F1908" s="1054" t="s">
        <v>652</v>
      </c>
      <c r="G1908" s="1003"/>
      <c r="H1908" s="1004"/>
      <c r="I1908" s="1004"/>
      <c r="J1908" s="1004"/>
      <c r="K1908" s="1004"/>
      <c r="L1908" s="1004"/>
      <c r="M1908" s="1003"/>
      <c r="N1908" s="1004"/>
      <c r="O1908" s="1005"/>
      <c r="P1908" s="940">
        <f>'[1]5.LO'!E136</f>
        <v>0</v>
      </c>
      <c r="Q1908" s="941"/>
      <c r="R1908" s="941"/>
      <c r="S1908" s="941"/>
      <c r="T1908" s="941"/>
      <c r="U1908" s="942"/>
      <c r="V1908" s="27"/>
    </row>
    <row r="1909" spans="1:22" s="20" customFormat="1" ht="14.25" customHeight="1">
      <c r="A1909" s="14"/>
      <c r="B1909" s="37"/>
      <c r="C1909" s="37"/>
      <c r="D1909" s="987">
        <v>2</v>
      </c>
      <c r="E1909" s="1033" t="s">
        <v>649</v>
      </c>
      <c r="F1909" s="1052"/>
      <c r="G1909" s="1003"/>
      <c r="H1909" s="1004"/>
      <c r="I1909" s="1004"/>
      <c r="J1909" s="1004"/>
      <c r="K1909" s="1004"/>
      <c r="L1909" s="1004"/>
      <c r="M1909" s="1003"/>
      <c r="N1909" s="1004"/>
      <c r="O1909" s="1005"/>
      <c r="P1909" s="994">
        <f>'[1]5.LO'!E137</f>
        <v>0</v>
      </c>
      <c r="Q1909" s="995"/>
      <c r="R1909" s="995"/>
      <c r="S1909" s="995"/>
      <c r="T1909" s="995"/>
      <c r="U1909" s="996"/>
      <c r="V1909" s="27"/>
    </row>
    <row r="1910" spans="1:22" s="20" customFormat="1" ht="14.25" customHeight="1">
      <c r="A1910" s="14"/>
      <c r="B1910" s="37"/>
      <c r="C1910" s="37"/>
      <c r="D1910" s="987">
        <v>3</v>
      </c>
      <c r="E1910" s="1055" t="s">
        <v>650</v>
      </c>
      <c r="F1910" s="1056"/>
      <c r="G1910" s="1003"/>
      <c r="H1910" s="1004"/>
      <c r="I1910" s="1004"/>
      <c r="J1910" s="1004"/>
      <c r="K1910" s="1004"/>
      <c r="L1910" s="1004"/>
      <c r="M1910" s="1003"/>
      <c r="N1910" s="1004"/>
      <c r="O1910" s="1005"/>
      <c r="P1910" s="994">
        <f>'[1]5.LO'!E138</f>
        <v>0</v>
      </c>
      <c r="Q1910" s="995"/>
      <c r="R1910" s="995"/>
      <c r="S1910" s="995"/>
      <c r="T1910" s="995"/>
      <c r="U1910" s="996"/>
      <c r="V1910" s="27"/>
    </row>
    <row r="1911" spans="1:22" s="20" customFormat="1" ht="14.25" customHeight="1">
      <c r="A1911" s="14"/>
      <c r="B1911" s="37"/>
      <c r="C1911" s="37"/>
      <c r="D1911" s="987"/>
      <c r="E1911" s="1057"/>
      <c r="F1911" s="1052" t="s">
        <v>653</v>
      </c>
      <c r="G1911" s="1003"/>
      <c r="H1911" s="1004"/>
      <c r="I1911" s="1004"/>
      <c r="J1911" s="1004"/>
      <c r="K1911" s="1004"/>
      <c r="L1911" s="1004"/>
      <c r="M1911" s="1003"/>
      <c r="N1911" s="1004"/>
      <c r="O1911" s="1005"/>
      <c r="P1911" s="994">
        <f>'[1]5.LO'!E139</f>
        <v>0</v>
      </c>
      <c r="Q1911" s="995"/>
      <c r="R1911" s="995"/>
      <c r="S1911" s="995"/>
      <c r="T1911" s="995"/>
      <c r="U1911" s="996"/>
      <c r="V1911" s="27"/>
    </row>
    <row r="1912" spans="1:22" s="20" customFormat="1" ht="14.25" customHeight="1">
      <c r="A1912" s="14"/>
      <c r="B1912" s="37"/>
      <c r="C1912" s="37"/>
      <c r="D1912" s="987"/>
      <c r="E1912" s="1053"/>
      <c r="F1912" s="1054" t="s">
        <v>654</v>
      </c>
      <c r="G1912" s="1003"/>
      <c r="H1912" s="1004"/>
      <c r="I1912" s="1004"/>
      <c r="J1912" s="1004"/>
      <c r="K1912" s="1004"/>
      <c r="L1912" s="1004"/>
      <c r="M1912" s="1003"/>
      <c r="N1912" s="1004"/>
      <c r="O1912" s="1005"/>
      <c r="P1912" s="940">
        <f>'[1]5.LO'!E140</f>
        <v>0</v>
      </c>
      <c r="Q1912" s="941"/>
      <c r="R1912" s="941"/>
      <c r="S1912" s="941"/>
      <c r="T1912" s="941"/>
      <c r="U1912" s="942"/>
      <c r="V1912" s="27"/>
    </row>
    <row r="1913" spans="1:22" s="20" customFormat="1" ht="14.25" customHeight="1">
      <c r="A1913" s="14"/>
      <c r="B1913" s="37"/>
      <c r="C1913" s="37"/>
      <c r="D1913" s="987"/>
      <c r="E1913" s="1053"/>
      <c r="F1913" s="1054" t="s">
        <v>655</v>
      </c>
      <c r="G1913" s="1003"/>
      <c r="H1913" s="1004"/>
      <c r="I1913" s="1004"/>
      <c r="J1913" s="1004"/>
      <c r="K1913" s="1004"/>
      <c r="L1913" s="1004"/>
      <c r="M1913" s="1003"/>
      <c r="N1913" s="1004"/>
      <c r="O1913" s="1005"/>
      <c r="P1913" s="940">
        <f>'[1]5.LO'!E141</f>
        <v>0</v>
      </c>
      <c r="Q1913" s="941"/>
      <c r="R1913" s="941"/>
      <c r="S1913" s="941"/>
      <c r="T1913" s="941"/>
      <c r="U1913" s="942"/>
      <c r="V1913" s="27"/>
    </row>
    <row r="1914" spans="1:22" s="20" customFormat="1" ht="14.25" customHeight="1">
      <c r="A1914" s="14"/>
      <c r="B1914" s="37"/>
      <c r="C1914" s="37"/>
      <c r="D1914" s="987"/>
      <c r="E1914" s="1053"/>
      <c r="F1914" s="1054" t="s">
        <v>656</v>
      </c>
      <c r="G1914" s="1003"/>
      <c r="H1914" s="1004"/>
      <c r="I1914" s="1004"/>
      <c r="J1914" s="1004"/>
      <c r="K1914" s="1004"/>
      <c r="L1914" s="1004"/>
      <c r="M1914" s="1003"/>
      <c r="N1914" s="1004"/>
      <c r="O1914" s="1005"/>
      <c r="P1914" s="940">
        <f>'[1]5.LO'!E142</f>
        <v>0</v>
      </c>
      <c r="Q1914" s="941"/>
      <c r="R1914" s="941"/>
      <c r="S1914" s="941"/>
      <c r="T1914" s="941"/>
      <c r="U1914" s="942"/>
      <c r="V1914" s="27"/>
    </row>
    <row r="1915" spans="1:22" s="20" customFormat="1" ht="14.25" customHeight="1">
      <c r="A1915" s="14"/>
      <c r="B1915" s="37"/>
      <c r="C1915" s="37"/>
      <c r="D1915" s="987"/>
      <c r="E1915" s="1053"/>
      <c r="F1915" s="1054" t="s">
        <v>657</v>
      </c>
      <c r="G1915" s="1003"/>
      <c r="H1915" s="1004"/>
      <c r="I1915" s="1004"/>
      <c r="J1915" s="1004"/>
      <c r="K1915" s="1004"/>
      <c r="L1915" s="1004"/>
      <c r="M1915" s="1003"/>
      <c r="N1915" s="1004"/>
      <c r="O1915" s="1005"/>
      <c r="P1915" s="940">
        <f>'[1]5.LO'!E143</f>
        <v>0</v>
      </c>
      <c r="Q1915" s="941"/>
      <c r="R1915" s="941"/>
      <c r="S1915" s="941"/>
      <c r="T1915" s="941"/>
      <c r="U1915" s="942"/>
      <c r="V1915" s="27"/>
    </row>
    <row r="1916" spans="1:22" s="20" customFormat="1" ht="14.25" customHeight="1">
      <c r="A1916" s="14"/>
      <c r="B1916" s="37"/>
      <c r="C1916" s="37"/>
      <c r="D1916" s="987"/>
      <c r="E1916" s="1053"/>
      <c r="F1916" s="1054" t="s">
        <v>658</v>
      </c>
      <c r="G1916" s="1003"/>
      <c r="H1916" s="1004"/>
      <c r="I1916" s="1004"/>
      <c r="J1916" s="1004"/>
      <c r="K1916" s="1004"/>
      <c r="L1916" s="1004"/>
      <c r="M1916" s="1003"/>
      <c r="N1916" s="1004"/>
      <c r="O1916" s="1005"/>
      <c r="P1916" s="940">
        <f>'[1]5.LO'!E144</f>
        <v>0</v>
      </c>
      <c r="Q1916" s="941"/>
      <c r="R1916" s="941"/>
      <c r="S1916" s="941"/>
      <c r="T1916" s="941"/>
      <c r="U1916" s="942"/>
      <c r="V1916" s="27"/>
    </row>
    <row r="1917" spans="1:22" s="20" customFormat="1" ht="14.25" customHeight="1">
      <c r="A1917" s="14"/>
      <c r="B1917" s="37"/>
      <c r="C1917" s="37"/>
      <c r="D1917" s="987"/>
      <c r="E1917" s="1053"/>
      <c r="F1917" s="1054" t="s">
        <v>659</v>
      </c>
      <c r="G1917" s="991"/>
      <c r="H1917" s="992"/>
      <c r="I1917" s="992"/>
      <c r="J1917" s="992"/>
      <c r="K1917" s="992"/>
      <c r="L1917" s="992"/>
      <c r="M1917" s="991"/>
      <c r="N1917" s="992"/>
      <c r="O1917" s="993"/>
      <c r="P1917" s="940">
        <f>'[1]5.LO'!E145</f>
        <v>0</v>
      </c>
      <c r="Q1917" s="941"/>
      <c r="R1917" s="941"/>
      <c r="S1917" s="941"/>
      <c r="T1917" s="941"/>
      <c r="U1917" s="942"/>
      <c r="V1917" s="27"/>
    </row>
    <row r="1918" spans="1:22" s="20" customFormat="1" ht="21.75" customHeight="1">
      <c r="A1918" s="14"/>
      <c r="B1918" s="37"/>
      <c r="C1918" s="37"/>
      <c r="D1918" s="987"/>
      <c r="E1918" s="1053"/>
      <c r="F1918" s="1054" t="s">
        <v>660</v>
      </c>
      <c r="G1918" s="1003"/>
      <c r="H1918" s="1004"/>
      <c r="I1918" s="1004"/>
      <c r="J1918" s="1004"/>
      <c r="K1918" s="1004"/>
      <c r="L1918" s="1004"/>
      <c r="M1918" s="1003"/>
      <c r="N1918" s="1004"/>
      <c r="O1918" s="1005"/>
      <c r="P1918" s="940">
        <f>'[1]5.LO'!E146</f>
        <v>0</v>
      </c>
      <c r="Q1918" s="941"/>
      <c r="R1918" s="941"/>
      <c r="S1918" s="941"/>
      <c r="T1918" s="941"/>
      <c r="U1918" s="942"/>
      <c r="V1918" s="27"/>
    </row>
    <row r="1919" spans="1:22" s="20" customFormat="1" ht="21.75" customHeight="1">
      <c r="A1919" s="14"/>
      <c r="B1919" s="37"/>
      <c r="C1919" s="37"/>
      <c r="D1919" s="1006"/>
      <c r="E1919" s="1053"/>
      <c r="F1919" s="1054" t="s">
        <v>661</v>
      </c>
      <c r="G1919" s="1003"/>
      <c r="H1919" s="1004"/>
      <c r="I1919" s="1004"/>
      <c r="J1919" s="1004"/>
      <c r="K1919" s="1004"/>
      <c r="L1919" s="1004"/>
      <c r="M1919" s="1003"/>
      <c r="N1919" s="1004"/>
      <c r="O1919" s="1005"/>
      <c r="P1919" s="940">
        <f>'[1]5.LO'!E147</f>
        <v>0</v>
      </c>
      <c r="Q1919" s="941"/>
      <c r="R1919" s="941"/>
      <c r="S1919" s="941"/>
      <c r="T1919" s="941"/>
      <c r="U1919" s="942"/>
      <c r="V1919" s="27"/>
    </row>
    <row r="1920" spans="1:22" s="20" customFormat="1" ht="21.75" customHeight="1">
      <c r="A1920" s="14"/>
      <c r="B1920" s="37"/>
      <c r="C1920" s="37"/>
      <c r="D1920" s="1006"/>
      <c r="E1920" s="1058"/>
      <c r="F1920" s="1054" t="s">
        <v>662</v>
      </c>
      <c r="G1920" s="1003"/>
      <c r="H1920" s="1004"/>
      <c r="I1920" s="1004"/>
      <c r="J1920" s="1004"/>
      <c r="K1920" s="1004"/>
      <c r="L1920" s="1004"/>
      <c r="M1920" s="1003"/>
      <c r="N1920" s="1004"/>
      <c r="O1920" s="1005"/>
      <c r="P1920" s="940">
        <f>'[1]5.LO'!E148</f>
        <v>0</v>
      </c>
      <c r="Q1920" s="941"/>
      <c r="R1920" s="941"/>
      <c r="S1920" s="941"/>
      <c r="T1920" s="941"/>
      <c r="U1920" s="942"/>
      <c r="V1920" s="27"/>
    </row>
    <row r="1921" spans="1:32" s="20" customFormat="1" ht="23.25" customHeight="1">
      <c r="A1921" s="14"/>
      <c r="B1921" s="37"/>
      <c r="C1921" s="37"/>
      <c r="D1921" s="1006"/>
      <c r="E1921" s="1058"/>
      <c r="F1921" s="1054" t="s">
        <v>663</v>
      </c>
      <c r="G1921" s="1003"/>
      <c r="H1921" s="1004"/>
      <c r="I1921" s="1004"/>
      <c r="J1921" s="1004"/>
      <c r="K1921" s="1004"/>
      <c r="L1921" s="1004"/>
      <c r="M1921" s="1003"/>
      <c r="N1921" s="1004"/>
      <c r="O1921" s="1005"/>
      <c r="P1921" s="940">
        <f>'[1]5.LO'!E149</f>
        <v>0</v>
      </c>
      <c r="Q1921" s="941"/>
      <c r="R1921" s="941"/>
      <c r="S1921" s="941"/>
      <c r="T1921" s="941"/>
      <c r="U1921" s="942"/>
      <c r="V1921" s="27"/>
    </row>
    <row r="1922" spans="1:32" s="20" customFormat="1" ht="18" customHeight="1">
      <c r="A1922" s="14"/>
      <c r="B1922" s="37"/>
      <c r="C1922" s="37"/>
      <c r="D1922" s="1006"/>
      <c r="E1922" s="1059"/>
      <c r="F1922" s="1033" t="s">
        <v>664</v>
      </c>
      <c r="G1922" s="1003"/>
      <c r="H1922" s="1004"/>
      <c r="I1922" s="1004"/>
      <c r="J1922" s="1004"/>
      <c r="K1922" s="1004"/>
      <c r="L1922" s="1004"/>
      <c r="M1922" s="1003"/>
      <c r="N1922" s="1004"/>
      <c r="O1922" s="1005"/>
      <c r="P1922" s="994">
        <f>'[1]5.LO'!E150</f>
        <v>0</v>
      </c>
      <c r="Q1922" s="995"/>
      <c r="R1922" s="995"/>
      <c r="S1922" s="995"/>
      <c r="T1922" s="995"/>
      <c r="U1922" s="996"/>
      <c r="V1922" s="27"/>
    </row>
    <row r="1923" spans="1:32" s="20" customFormat="1" ht="19.5" customHeight="1">
      <c r="A1923" s="14"/>
      <c r="B1923" s="37"/>
      <c r="C1923" s="37"/>
      <c r="D1923" s="1006"/>
      <c r="E1923" s="1053"/>
      <c r="F1923" s="1054" t="s">
        <v>665</v>
      </c>
      <c r="G1923" s="1003"/>
      <c r="H1923" s="1004"/>
      <c r="I1923" s="1004"/>
      <c r="J1923" s="1004"/>
      <c r="K1923" s="1004"/>
      <c r="L1923" s="1004"/>
      <c r="M1923" s="1003"/>
      <c r="N1923" s="1004"/>
      <c r="O1923" s="1005"/>
      <c r="P1923" s="940">
        <f>'[1]5.LO'!E151</f>
        <v>0</v>
      </c>
      <c r="Q1923" s="941"/>
      <c r="R1923" s="941"/>
      <c r="S1923" s="941"/>
      <c r="T1923" s="941"/>
      <c r="U1923" s="942"/>
      <c r="V1923" s="27"/>
    </row>
    <row r="1924" spans="1:32" s="20" customFormat="1" ht="21.75" customHeight="1">
      <c r="A1924" s="14"/>
      <c r="B1924" s="37"/>
      <c r="C1924" s="37"/>
      <c r="D1924" s="1015" t="s">
        <v>666</v>
      </c>
      <c r="E1924" s="1016"/>
      <c r="F1924" s="1016"/>
      <c r="G1924" s="1016"/>
      <c r="H1924" s="1016"/>
      <c r="I1924" s="1016"/>
      <c r="J1924" s="1016"/>
      <c r="K1924" s="1016"/>
      <c r="L1924" s="1016"/>
      <c r="M1924" s="1016"/>
      <c r="N1924" s="1016"/>
      <c r="O1924" s="1017"/>
      <c r="P1924" s="994">
        <f>P1910+P1909+P1907</f>
        <v>0</v>
      </c>
      <c r="Q1924" s="995"/>
      <c r="R1924" s="995"/>
      <c r="S1924" s="995"/>
      <c r="T1924" s="995"/>
      <c r="U1924" s="996"/>
      <c r="V1924" s="27"/>
    </row>
    <row r="1925" spans="1:32" s="20" customFormat="1" ht="21.75" customHeight="1">
      <c r="A1925" s="14"/>
      <c r="B1925" s="37"/>
      <c r="C1925" s="37"/>
      <c r="D1925" s="1060"/>
      <c r="E1925" s="1060"/>
      <c r="F1925" s="1060"/>
      <c r="G1925" s="1060"/>
      <c r="H1925" s="1060"/>
      <c r="I1925" s="1060"/>
      <c r="J1925" s="1060"/>
      <c r="K1925" s="1060"/>
      <c r="L1925" s="1060"/>
      <c r="M1925" s="1060"/>
      <c r="N1925" s="1060"/>
      <c r="O1925" s="1060"/>
      <c r="P1925" s="1061"/>
      <c r="Q1925" s="1061"/>
      <c r="R1925" s="1061"/>
      <c r="S1925" s="1061"/>
      <c r="T1925" s="1061"/>
      <c r="U1925" s="285"/>
      <c r="V1925" s="27"/>
    </row>
    <row r="1926" spans="1:32" s="20" customFormat="1" ht="14.25" customHeight="1">
      <c r="A1926" s="14"/>
      <c r="B1926" s="1062" t="s">
        <v>667</v>
      </c>
      <c r="C1926" s="1062"/>
      <c r="D1926" s="1062"/>
      <c r="E1926" s="1062"/>
      <c r="F1926" s="1062"/>
      <c r="G1926" s="1062"/>
      <c r="H1926" s="1062"/>
      <c r="I1926" s="1062"/>
      <c r="J1926" s="1062"/>
      <c r="K1926" s="1062"/>
      <c r="L1926" s="1062"/>
      <c r="M1926" s="1062"/>
      <c r="N1926" s="1062"/>
      <c r="O1926" s="1062"/>
      <c r="P1926" s="1062"/>
      <c r="Q1926" s="1062"/>
      <c r="R1926" s="1062"/>
      <c r="S1926" s="1062"/>
      <c r="T1926" s="1062"/>
      <c r="U1926" s="1062"/>
      <c r="V1926" s="27"/>
    </row>
    <row r="1927" spans="1:32" s="20" customFormat="1" ht="70.5" customHeight="1">
      <c r="A1927" s="14"/>
      <c r="C1927" s="313" t="str">
        <f>"Beban sesuai PSAP 12 adalah kewajiban yang diakui sebagai pengurangan nilai kekayaan bersih. Adapun realisasi beban Tahun Anggaran "&amp;'[1]2.ISIAN DATA SKPD'!D11&amp;" dan tahun "&amp;'[1]2.ISIAN DATA SKPD'!D12&amp;" adalah masing-masing sebesar Rp. "&amp;FIXED(J1944)&amp;",- dan  Rp. "&amp;FIXED(P1944)&amp;".  "</f>
        <v xml:space="preserve">Beban sesuai PSAP 12 adalah kewajiban yang diakui sebagai pengurangan nilai kekayaan bersih. Adapun realisasi beban Tahun Anggaran 2017 dan tahun 2016 adalah masing-masing sebesar Rp. 129,762,409,618.00,- dan  Rp. 55,686,468,273.24.  </v>
      </c>
      <c r="D1927" s="313"/>
      <c r="E1927" s="313"/>
      <c r="F1927" s="313"/>
      <c r="G1927" s="313"/>
      <c r="H1927" s="313"/>
      <c r="I1927" s="313"/>
      <c r="J1927" s="313"/>
      <c r="K1927" s="313"/>
      <c r="L1927" s="313"/>
      <c r="M1927" s="313"/>
      <c r="N1927" s="313"/>
      <c r="O1927" s="313"/>
      <c r="P1927" s="313"/>
      <c r="Q1927" s="313"/>
      <c r="R1927" s="313"/>
      <c r="S1927" s="313"/>
      <c r="T1927" s="313"/>
      <c r="U1927" s="313"/>
      <c r="V1927" s="27"/>
    </row>
    <row r="1928" spans="1:32" s="20" customFormat="1" ht="46.5" customHeight="1">
      <c r="A1928" s="14"/>
      <c r="C1928" s="313" t="str">
        <f>"Mengalami penurunan sebesar Rp. "&amp;FIXED(AC1944)&amp;" atau sebesar "&amp;FIXED(Y1944)&amp;"% dari tahun "&amp;'[1]2.ISIAN DATA SKPD'!D12&amp;"."</f>
        <v>Mengalami penurunan sebesar Rp. 74,075,941,344.76 atau sebesar 133.02% dari tahun 2016.</v>
      </c>
      <c r="D1928" s="313"/>
      <c r="E1928" s="313"/>
      <c r="F1928" s="313"/>
      <c r="G1928" s="313"/>
      <c r="H1928" s="313"/>
      <c r="I1928" s="313"/>
      <c r="J1928" s="313"/>
      <c r="K1928" s="313"/>
      <c r="L1928" s="313"/>
      <c r="M1928" s="313"/>
      <c r="N1928" s="313"/>
      <c r="O1928" s="313"/>
      <c r="P1928" s="313"/>
      <c r="Q1928" s="313"/>
      <c r="R1928" s="313"/>
      <c r="S1928" s="313"/>
      <c r="T1928" s="313"/>
      <c r="U1928" s="313"/>
      <c r="V1928" s="27"/>
    </row>
    <row r="1929" spans="1:32" s="20" customFormat="1" ht="14.25" customHeight="1">
      <c r="A1929" s="14"/>
      <c r="C1929" s="285"/>
      <c r="D1929" s="285"/>
      <c r="E1929" s="285"/>
      <c r="F1929" s="285"/>
      <c r="G1929" s="285"/>
      <c r="H1929" s="285"/>
      <c r="I1929" s="285"/>
      <c r="J1929" s="285"/>
      <c r="K1929" s="285"/>
      <c r="L1929" s="285"/>
      <c r="M1929" s="285"/>
      <c r="N1929" s="285"/>
      <c r="O1929" s="285"/>
      <c r="P1929" s="285"/>
      <c r="Q1929" s="285"/>
      <c r="R1929" s="285"/>
      <c r="S1929" s="285"/>
      <c r="T1929" s="285"/>
      <c r="U1929" s="285"/>
      <c r="V1929" s="27"/>
    </row>
    <row r="1930" spans="1:32" s="20" customFormat="1" ht="14.25" customHeight="1">
      <c r="A1930" s="14"/>
      <c r="B1930" s="37"/>
      <c r="C1930" s="386" t="str">
        <f>"Rincian Beban  Tahun "&amp;'[1]2.ISIAN DATA SKPD'!D11&amp;" dan "&amp;'[1]2.ISIAN DATA SKPD'!D12&amp;""</f>
        <v>Rincian Beban  Tahun 2017 dan 2016</v>
      </c>
      <c r="D1930" s="386"/>
      <c r="E1930" s="386"/>
      <c r="F1930" s="386"/>
      <c r="G1930" s="386"/>
      <c r="H1930" s="386"/>
      <c r="I1930" s="386"/>
      <c r="J1930" s="386"/>
      <c r="K1930" s="386"/>
      <c r="L1930" s="386"/>
      <c r="M1930" s="386"/>
      <c r="N1930" s="386"/>
      <c r="O1930" s="386"/>
      <c r="P1930" s="386"/>
      <c r="Q1930" s="386"/>
      <c r="R1930" s="386"/>
      <c r="S1930" s="386"/>
      <c r="T1930" s="386"/>
      <c r="U1930" s="37"/>
      <c r="V1930" s="27"/>
    </row>
    <row r="1931" spans="1:32" s="20" customFormat="1" ht="14.25" customHeight="1">
      <c r="A1931" s="14"/>
      <c r="B1931" s="37"/>
      <c r="C1931" s="303" t="s">
        <v>84</v>
      </c>
      <c r="D1931" s="304"/>
      <c r="E1931" s="304"/>
      <c r="F1931" s="304"/>
      <c r="G1931" s="304"/>
      <c r="H1931" s="304"/>
      <c r="I1931" s="305"/>
      <c r="J1931" s="303" t="str">
        <f>G1735</f>
        <v>TA 2017</v>
      </c>
      <c r="K1931" s="304"/>
      <c r="L1931" s="304"/>
      <c r="M1931" s="304"/>
      <c r="N1931" s="304"/>
      <c r="O1931" s="305"/>
      <c r="P1931" s="303" t="str">
        <f>M1735</f>
        <v>TA 2016</v>
      </c>
      <c r="Q1931" s="304"/>
      <c r="R1931" s="304"/>
      <c r="S1931" s="304"/>
      <c r="T1931" s="304"/>
      <c r="U1931" s="305"/>
      <c r="V1931" s="804"/>
      <c r="W1931" s="805"/>
      <c r="X1931" s="805"/>
      <c r="Y1931" s="208" t="s">
        <v>417</v>
      </c>
      <c r="Z1931" s="805"/>
      <c r="AA1931" s="805"/>
      <c r="AB1931" s="805"/>
      <c r="AC1931" s="712" t="s">
        <v>404</v>
      </c>
      <c r="AD1931" s="713"/>
      <c r="AE1931" s="713"/>
      <c r="AF1931" s="806"/>
    </row>
    <row r="1932" spans="1:32" s="20" customFormat="1" ht="14.25" customHeight="1">
      <c r="A1932" s="1063"/>
      <c r="B1932" s="37"/>
      <c r="C1932" s="1064" t="s">
        <v>668</v>
      </c>
      <c r="D1932" s="1065"/>
      <c r="E1932" s="1065"/>
      <c r="F1932" s="1065"/>
      <c r="G1932" s="1065"/>
      <c r="H1932" s="1065"/>
      <c r="I1932" s="1065"/>
      <c r="J1932" s="76">
        <f>'[1]5.LO'!E155</f>
        <v>10065859811</v>
      </c>
      <c r="K1932" s="77"/>
      <c r="L1932" s="77"/>
      <c r="M1932" s="77"/>
      <c r="N1932" s="77"/>
      <c r="O1932" s="78"/>
      <c r="P1932" s="76">
        <f>'[1]5.LO'!F155</f>
        <v>14212669217</v>
      </c>
      <c r="Q1932" s="77"/>
      <c r="R1932" s="77"/>
      <c r="S1932" s="77"/>
      <c r="T1932" s="77"/>
      <c r="U1932" s="78"/>
      <c r="V1932" s="808"/>
      <c r="W1932" s="805"/>
      <c r="X1932" s="805"/>
      <c r="Y1932" s="208">
        <f>(J1932-P1932)/P1932*100</f>
        <v>-29.176851601104847</v>
      </c>
      <c r="Z1932" s="805"/>
      <c r="AA1932" s="805"/>
      <c r="AB1932" s="805"/>
      <c r="AC1932" s="451">
        <f>J1932-P1932</f>
        <v>-4146809406</v>
      </c>
      <c r="AD1932" s="452"/>
      <c r="AE1932" s="452"/>
      <c r="AF1932" s="453"/>
    </row>
    <row r="1933" spans="1:32" s="20" customFormat="1" ht="14.25" customHeight="1">
      <c r="A1933" s="1063"/>
      <c r="B1933" s="37"/>
      <c r="C1933" s="1064" t="s">
        <v>669</v>
      </c>
      <c r="D1933" s="1065"/>
      <c r="E1933" s="1065"/>
      <c r="F1933" s="1065"/>
      <c r="G1933" s="1065"/>
      <c r="H1933" s="1065"/>
      <c r="I1933" s="1065"/>
      <c r="J1933" s="76">
        <f>'[1]5.LO'!E221</f>
        <v>3852133175</v>
      </c>
      <c r="K1933" s="77"/>
      <c r="L1933" s="77"/>
      <c r="M1933" s="77"/>
      <c r="N1933" s="77"/>
      <c r="O1933" s="78"/>
      <c r="P1933" s="76">
        <f>'[1]5.LO'!F221</f>
        <v>6682528354</v>
      </c>
      <c r="Q1933" s="77"/>
      <c r="R1933" s="77"/>
      <c r="S1933" s="77"/>
      <c r="T1933" s="77"/>
      <c r="U1933" s="78"/>
      <c r="V1933" s="808"/>
      <c r="W1933" s="805"/>
      <c r="X1933" s="805"/>
      <c r="Y1933" s="208">
        <f t="shared" ref="Y1933:Y1944" si="40">(J1933-P1933)/P1933*100</f>
        <v>-42.355154053417429</v>
      </c>
      <c r="Z1933" s="805"/>
      <c r="AA1933" s="805"/>
      <c r="AB1933" s="805"/>
      <c r="AC1933" s="451">
        <f t="shared" ref="AC1933:AC1944" si="41">J1933-P1933</f>
        <v>-2830395179</v>
      </c>
      <c r="AD1933" s="452"/>
      <c r="AE1933" s="452"/>
      <c r="AF1933" s="453"/>
    </row>
    <row r="1934" spans="1:32" s="20" customFormat="1" ht="14.25" customHeight="1">
      <c r="A1934" s="1063"/>
      <c r="B1934" s="37"/>
      <c r="C1934" s="1064" t="s">
        <v>670</v>
      </c>
      <c r="D1934" s="1065"/>
      <c r="E1934" s="1065"/>
      <c r="F1934" s="1065"/>
      <c r="G1934" s="1065"/>
      <c r="H1934" s="1065"/>
      <c r="I1934" s="1065"/>
      <c r="J1934" s="76">
        <f>'[1]5.LO'!E254</f>
        <v>10836563634</v>
      </c>
      <c r="K1934" s="77"/>
      <c r="L1934" s="77"/>
      <c r="M1934" s="77"/>
      <c r="N1934" s="77"/>
      <c r="O1934" s="78"/>
      <c r="P1934" s="76">
        <f>'[1]5.LO'!F254</f>
        <v>9155495525</v>
      </c>
      <c r="Q1934" s="77"/>
      <c r="R1934" s="77"/>
      <c r="S1934" s="77"/>
      <c r="T1934" s="77"/>
      <c r="U1934" s="78"/>
      <c r="V1934" s="808"/>
      <c r="W1934" s="805"/>
      <c r="X1934" s="805"/>
      <c r="Y1934" s="208">
        <f t="shared" si="40"/>
        <v>18.361301192378662</v>
      </c>
      <c r="Z1934" s="805"/>
      <c r="AA1934" s="805"/>
      <c r="AB1934" s="805"/>
      <c r="AC1934" s="451">
        <f t="shared" si="41"/>
        <v>1681068109</v>
      </c>
      <c r="AD1934" s="452"/>
      <c r="AE1934" s="452"/>
      <c r="AF1934" s="453"/>
    </row>
    <row r="1935" spans="1:32" s="20" customFormat="1" ht="14.25" customHeight="1">
      <c r="A1935" s="1063"/>
      <c r="B1935" s="37"/>
      <c r="C1935" s="1064" t="s">
        <v>671</v>
      </c>
      <c r="D1935" s="1065"/>
      <c r="E1935" s="1065"/>
      <c r="F1935" s="1065"/>
      <c r="G1935" s="1065"/>
      <c r="H1935" s="1065"/>
      <c r="I1935" s="1065"/>
      <c r="J1935" s="76">
        <f>'[1]5.LO'!E362</f>
        <v>309008104</v>
      </c>
      <c r="K1935" s="77"/>
      <c r="L1935" s="77"/>
      <c r="M1935" s="77"/>
      <c r="N1935" s="77"/>
      <c r="O1935" s="78"/>
      <c r="P1935" s="76">
        <f>'[1]5.LO'!F362</f>
        <v>1822865876</v>
      </c>
      <c r="Q1935" s="77"/>
      <c r="R1935" s="77"/>
      <c r="S1935" s="77"/>
      <c r="T1935" s="77"/>
      <c r="U1935" s="78"/>
      <c r="V1935" s="808"/>
      <c r="W1935" s="805"/>
      <c r="X1935" s="805"/>
      <c r="Y1935" s="208">
        <f t="shared" si="40"/>
        <v>-83.048225979298536</v>
      </c>
      <c r="Z1935" s="805"/>
      <c r="AA1935" s="805"/>
      <c r="AB1935" s="805"/>
      <c r="AC1935" s="451">
        <f t="shared" si="41"/>
        <v>-1513857772</v>
      </c>
      <c r="AD1935" s="452"/>
      <c r="AE1935" s="452"/>
      <c r="AF1935" s="453"/>
    </row>
    <row r="1936" spans="1:32" s="20" customFormat="1" ht="14.25" customHeight="1">
      <c r="A1936" s="1063"/>
      <c r="B1936" s="37"/>
      <c r="C1936" s="1064" t="s">
        <v>672</v>
      </c>
      <c r="D1936" s="1065"/>
      <c r="E1936" s="1065"/>
      <c r="F1936" s="1065"/>
      <c r="G1936" s="1065"/>
      <c r="H1936" s="1065"/>
      <c r="I1936" s="1065"/>
      <c r="J1936" s="76">
        <f>'[1]5.LO'!E375</f>
        <v>480246977</v>
      </c>
      <c r="K1936" s="77"/>
      <c r="L1936" s="77"/>
      <c r="M1936" s="77"/>
      <c r="N1936" s="77"/>
      <c r="O1936" s="78"/>
      <c r="P1936" s="76">
        <f>'[1]5.LO'!F375</f>
        <v>534439787</v>
      </c>
      <c r="Q1936" s="77"/>
      <c r="R1936" s="77"/>
      <c r="S1936" s="77"/>
      <c r="T1936" s="77"/>
      <c r="U1936" s="78"/>
      <c r="V1936" s="808"/>
      <c r="W1936" s="805"/>
      <c r="X1936" s="805"/>
      <c r="Y1936" s="208">
        <f t="shared" si="40"/>
        <v>-10.140115185698178</v>
      </c>
      <c r="Z1936" s="805"/>
      <c r="AA1936" s="805"/>
      <c r="AB1936" s="805"/>
      <c r="AC1936" s="451">
        <f t="shared" si="41"/>
        <v>-54192810</v>
      </c>
      <c r="AD1936" s="452"/>
      <c r="AE1936" s="452"/>
      <c r="AF1936" s="453"/>
    </row>
    <row r="1937" spans="1:32" s="20" customFormat="1" ht="14.25" customHeight="1">
      <c r="A1937" s="1063"/>
      <c r="B1937" s="37"/>
      <c r="C1937" s="1064" t="s">
        <v>673</v>
      </c>
      <c r="D1937" s="1065"/>
      <c r="E1937" s="1065"/>
      <c r="F1937" s="1065"/>
      <c r="G1937" s="1065"/>
      <c r="H1937" s="1065"/>
      <c r="I1937" s="1065"/>
      <c r="J1937" s="76">
        <f>'[1]5.LO'!E382</f>
        <v>0</v>
      </c>
      <c r="K1937" s="77"/>
      <c r="L1937" s="77"/>
      <c r="M1937" s="77"/>
      <c r="N1937" s="77"/>
      <c r="O1937" s="78"/>
      <c r="P1937" s="76">
        <f>'[1]5.LO'!F382</f>
        <v>0</v>
      </c>
      <c r="Q1937" s="77"/>
      <c r="R1937" s="77"/>
      <c r="S1937" s="77"/>
      <c r="T1937" s="77"/>
      <c r="U1937" s="78"/>
      <c r="V1937" s="808"/>
      <c r="W1937" s="805"/>
      <c r="X1937" s="805"/>
      <c r="Y1937" s="208" t="e">
        <f t="shared" si="40"/>
        <v>#DIV/0!</v>
      </c>
      <c r="Z1937" s="805"/>
      <c r="AA1937" s="805"/>
      <c r="AB1937" s="805"/>
      <c r="AC1937" s="451">
        <f t="shared" si="41"/>
        <v>0</v>
      </c>
      <c r="AD1937" s="452"/>
      <c r="AE1937" s="452"/>
      <c r="AF1937" s="453"/>
    </row>
    <row r="1938" spans="1:32" s="20" customFormat="1" ht="21.75" customHeight="1">
      <c r="A1938" s="1063"/>
      <c r="B1938" s="37"/>
      <c r="C1938" s="1064" t="s">
        <v>674</v>
      </c>
      <c r="D1938" s="1065"/>
      <c r="E1938" s="1065"/>
      <c r="F1938" s="1065"/>
      <c r="G1938" s="1065"/>
      <c r="H1938" s="1065"/>
      <c r="I1938" s="1065"/>
      <c r="J1938" s="76">
        <f>'[1]5.LO'!E383</f>
        <v>0</v>
      </c>
      <c r="K1938" s="77"/>
      <c r="L1938" s="77"/>
      <c r="M1938" s="77"/>
      <c r="N1938" s="77"/>
      <c r="O1938" s="78"/>
      <c r="P1938" s="76">
        <f>'[1]5.LO'!F383</f>
        <v>0</v>
      </c>
      <c r="Q1938" s="77"/>
      <c r="R1938" s="77"/>
      <c r="S1938" s="77"/>
      <c r="T1938" s="77"/>
      <c r="U1938" s="78"/>
      <c r="V1938" s="808"/>
      <c r="W1938" s="805"/>
      <c r="X1938" s="805"/>
      <c r="Y1938" s="208" t="e">
        <f t="shared" si="40"/>
        <v>#DIV/0!</v>
      </c>
      <c r="Z1938" s="805"/>
      <c r="AA1938" s="805"/>
      <c r="AB1938" s="805"/>
      <c r="AC1938" s="451">
        <f t="shared" si="41"/>
        <v>0</v>
      </c>
      <c r="AD1938" s="452"/>
      <c r="AE1938" s="452"/>
      <c r="AF1938" s="453"/>
    </row>
    <row r="1939" spans="1:32" s="20" customFormat="1" ht="21.75" customHeight="1">
      <c r="A1939" s="1063"/>
      <c r="B1939" s="37"/>
      <c r="C1939" s="1064" t="s">
        <v>675</v>
      </c>
      <c r="D1939" s="1065"/>
      <c r="E1939" s="1065"/>
      <c r="F1939" s="1065"/>
      <c r="G1939" s="1065"/>
      <c r="H1939" s="1065"/>
      <c r="I1939" s="1065"/>
      <c r="J1939" s="76">
        <f>'[1]5.LO'!E384</f>
        <v>272054200</v>
      </c>
      <c r="K1939" s="77"/>
      <c r="L1939" s="77"/>
      <c r="M1939" s="77"/>
      <c r="N1939" s="77"/>
      <c r="O1939" s="78"/>
      <c r="P1939" s="76">
        <f>'[1]5.LO'!F384</f>
        <v>1124732450</v>
      </c>
      <c r="Q1939" s="77"/>
      <c r="R1939" s="77"/>
      <c r="S1939" s="77"/>
      <c r="T1939" s="77"/>
      <c r="U1939" s="78"/>
      <c r="V1939" s="808"/>
      <c r="W1939" s="805"/>
      <c r="X1939" s="805"/>
      <c r="Y1939" s="208">
        <f t="shared" si="40"/>
        <v>-75.811651917751647</v>
      </c>
      <c r="Z1939" s="805"/>
      <c r="AA1939" s="805"/>
      <c r="AB1939" s="805"/>
      <c r="AC1939" s="451">
        <f t="shared" si="41"/>
        <v>-852678250</v>
      </c>
      <c r="AD1939" s="452"/>
      <c r="AE1939" s="452"/>
      <c r="AF1939" s="453"/>
    </row>
    <row r="1940" spans="1:32" s="20" customFormat="1" ht="22.5" customHeight="1">
      <c r="A1940" s="1063"/>
      <c r="B1940" s="37"/>
      <c r="C1940" s="1064" t="s">
        <v>676</v>
      </c>
      <c r="D1940" s="1065"/>
      <c r="E1940" s="1065"/>
      <c r="F1940" s="1065"/>
      <c r="G1940" s="1065"/>
      <c r="H1940" s="1065"/>
      <c r="I1940" s="1065"/>
      <c r="J1940" s="76">
        <f>'[1]5.LO'!E399</f>
        <v>0</v>
      </c>
      <c r="K1940" s="77"/>
      <c r="L1940" s="77"/>
      <c r="M1940" s="77"/>
      <c r="N1940" s="77"/>
      <c r="O1940" s="78"/>
      <c r="P1940" s="76">
        <f>'[1]5.LO'!F399</f>
        <v>0</v>
      </c>
      <c r="Q1940" s="77"/>
      <c r="R1940" s="77"/>
      <c r="S1940" s="77"/>
      <c r="T1940" s="77"/>
      <c r="U1940" s="78"/>
      <c r="V1940" s="808"/>
      <c r="W1940" s="805"/>
      <c r="X1940" s="805"/>
      <c r="Y1940" s="208">
        <v>0</v>
      </c>
      <c r="Z1940" s="805"/>
      <c r="AA1940" s="805"/>
      <c r="AB1940" s="805"/>
      <c r="AC1940" s="451">
        <f t="shared" si="41"/>
        <v>0</v>
      </c>
      <c r="AD1940" s="452"/>
      <c r="AE1940" s="452"/>
      <c r="AF1940" s="453"/>
    </row>
    <row r="1941" spans="1:32" s="20" customFormat="1" ht="22.5" customHeight="1">
      <c r="A1941" s="1063"/>
      <c r="B1941" s="37"/>
      <c r="C1941" s="1064" t="s">
        <v>677</v>
      </c>
      <c r="D1941" s="1065"/>
      <c r="E1941" s="1065"/>
      <c r="F1941" s="1065"/>
      <c r="G1941" s="1065"/>
      <c r="H1941" s="1065"/>
      <c r="I1941" s="1065"/>
      <c r="J1941" s="76">
        <f>'[1]5.LO'!E405</f>
        <v>103946543717</v>
      </c>
      <c r="K1941" s="77"/>
      <c r="L1941" s="77"/>
      <c r="M1941" s="77"/>
      <c r="N1941" s="77"/>
      <c r="O1941" s="78"/>
      <c r="P1941" s="76">
        <f>'[1]5.LO'!F405</f>
        <v>22153737064.239998</v>
      </c>
      <c r="Q1941" s="77"/>
      <c r="R1941" s="77"/>
      <c r="S1941" s="77"/>
      <c r="T1941" s="77"/>
      <c r="U1941" s="78"/>
      <c r="V1941" s="808"/>
      <c r="W1941" s="805"/>
      <c r="X1941" s="805"/>
      <c r="Y1941" s="208">
        <f t="shared" si="40"/>
        <v>369.20545917640186</v>
      </c>
      <c r="Z1941" s="805"/>
      <c r="AA1941" s="805"/>
      <c r="AB1941" s="805"/>
      <c r="AC1941" s="451">
        <f t="shared" si="41"/>
        <v>81792806652.76001</v>
      </c>
      <c r="AD1941" s="452"/>
      <c r="AE1941" s="452"/>
      <c r="AF1941" s="453"/>
    </row>
    <row r="1942" spans="1:32" s="20" customFormat="1" ht="29.25" customHeight="1">
      <c r="A1942" s="1063"/>
      <c r="B1942" s="37"/>
      <c r="C1942" s="1064" t="s">
        <v>678</v>
      </c>
      <c r="D1942" s="1065"/>
      <c r="E1942" s="1065"/>
      <c r="F1942" s="1065"/>
      <c r="G1942" s="1065"/>
      <c r="H1942" s="1065"/>
      <c r="I1942" s="1065"/>
      <c r="J1942" s="76">
        <f>'[1]5.LO'!E410</f>
        <v>0</v>
      </c>
      <c r="K1942" s="77"/>
      <c r="L1942" s="77"/>
      <c r="M1942" s="77"/>
      <c r="N1942" s="77"/>
      <c r="O1942" s="78"/>
      <c r="P1942" s="76">
        <f>'[1]5.LO'!F410</f>
        <v>0</v>
      </c>
      <c r="Q1942" s="77"/>
      <c r="R1942" s="77"/>
      <c r="S1942" s="77"/>
      <c r="T1942" s="77"/>
      <c r="U1942" s="78"/>
      <c r="V1942" s="808"/>
      <c r="W1942" s="805"/>
      <c r="X1942" s="805"/>
      <c r="Y1942" s="208" t="e">
        <f t="shared" si="40"/>
        <v>#DIV/0!</v>
      </c>
      <c r="Z1942" s="805"/>
      <c r="AA1942" s="805"/>
      <c r="AB1942" s="805"/>
      <c r="AC1942" s="451">
        <f t="shared" si="41"/>
        <v>0</v>
      </c>
      <c r="AD1942" s="452"/>
      <c r="AE1942" s="452"/>
      <c r="AF1942" s="453"/>
    </row>
    <row r="1943" spans="1:32" s="20" customFormat="1" ht="29.25" customHeight="1">
      <c r="A1943" s="1063"/>
      <c r="B1943" s="37"/>
      <c r="C1943" s="1064" t="s">
        <v>679</v>
      </c>
      <c r="D1943" s="1065"/>
      <c r="E1943" s="1065"/>
      <c r="F1943" s="1065"/>
      <c r="G1943" s="1065"/>
      <c r="H1943" s="1065"/>
      <c r="I1943" s="1065"/>
      <c r="J1943" s="76">
        <f>'[1]5.LO'!E431</f>
        <v>0</v>
      </c>
      <c r="K1943" s="77"/>
      <c r="L1943" s="77"/>
      <c r="M1943" s="77"/>
      <c r="N1943" s="77"/>
      <c r="O1943" s="78"/>
      <c r="P1943" s="76">
        <f>'[1]5.LO'!F431</f>
        <v>0</v>
      </c>
      <c r="Q1943" s="77"/>
      <c r="R1943" s="77"/>
      <c r="S1943" s="77"/>
      <c r="T1943" s="77"/>
      <c r="U1943" s="78"/>
      <c r="V1943" s="808"/>
      <c r="W1943" s="805"/>
      <c r="X1943" s="805"/>
      <c r="Y1943" s="208">
        <v>0</v>
      </c>
      <c r="Z1943" s="805"/>
      <c r="AA1943" s="805"/>
      <c r="AB1943" s="805"/>
      <c r="AC1943" s="451">
        <f t="shared" si="41"/>
        <v>0</v>
      </c>
      <c r="AD1943" s="452"/>
      <c r="AE1943" s="452"/>
      <c r="AF1943" s="453"/>
    </row>
    <row r="1944" spans="1:32" s="20" customFormat="1" ht="22.5" customHeight="1">
      <c r="A1944" s="14"/>
      <c r="B1944" s="37"/>
      <c r="C1944" s="303" t="s">
        <v>143</v>
      </c>
      <c r="D1944" s="304"/>
      <c r="E1944" s="304"/>
      <c r="F1944" s="304"/>
      <c r="G1944" s="304"/>
      <c r="H1944" s="304"/>
      <c r="I1944" s="305"/>
      <c r="J1944" s="1066">
        <f>SUM(J1932:O1943)</f>
        <v>129762409618</v>
      </c>
      <c r="K1944" s="1067"/>
      <c r="L1944" s="1067"/>
      <c r="M1944" s="1067"/>
      <c r="N1944" s="1067"/>
      <c r="O1944" s="1068"/>
      <c r="P1944" s="1066">
        <f>SUM(P1932:T1943)</f>
        <v>55686468273.239998</v>
      </c>
      <c r="Q1944" s="1067"/>
      <c r="R1944" s="1067"/>
      <c r="S1944" s="1067"/>
      <c r="T1944" s="1067"/>
      <c r="U1944" s="1068"/>
      <c r="V1944" s="808"/>
      <c r="W1944" s="805"/>
      <c r="X1944" s="805"/>
      <c r="Y1944" s="208">
        <f t="shared" si="40"/>
        <v>133.02323462369228</v>
      </c>
      <c r="Z1944" s="805"/>
      <c r="AA1944" s="805"/>
      <c r="AB1944" s="805"/>
      <c r="AC1944" s="451">
        <f t="shared" si="41"/>
        <v>74075941344.76001</v>
      </c>
      <c r="AD1944" s="452"/>
      <c r="AE1944" s="452"/>
      <c r="AF1944" s="453"/>
    </row>
    <row r="1945" spans="1:32" s="20" customFormat="1" ht="14.25" customHeight="1">
      <c r="A1945" s="14"/>
      <c r="B1945" s="37"/>
      <c r="C1945" s="37"/>
      <c r="D1945" s="37"/>
      <c r="E1945" s="37"/>
      <c r="F1945" s="37"/>
      <c r="G1945" s="37"/>
      <c r="H1945" s="37"/>
      <c r="I1945" s="37"/>
      <c r="J1945" s="37"/>
      <c r="K1945" s="37"/>
      <c r="L1945" s="37"/>
      <c r="M1945" s="37"/>
      <c r="N1945" s="37"/>
      <c r="O1945" s="37"/>
      <c r="P1945" s="37"/>
      <c r="Q1945" s="37"/>
      <c r="R1945" s="37"/>
      <c r="S1945" s="37"/>
      <c r="T1945" s="37"/>
      <c r="U1945" s="37"/>
      <c r="V1945" s="27"/>
    </row>
    <row r="1946" spans="1:32" s="20" customFormat="1" ht="14.25" customHeight="1">
      <c r="A1946" s="18"/>
      <c r="C1946" s="1069" t="s">
        <v>680</v>
      </c>
      <c r="D1946" s="1062" t="s">
        <v>668</v>
      </c>
      <c r="E1946" s="1062"/>
      <c r="F1946" s="1062"/>
      <c r="G1946" s="1062"/>
      <c r="H1946" s="1062"/>
      <c r="I1946" s="1062"/>
      <c r="J1946" s="1062"/>
      <c r="K1946" s="1062"/>
      <c r="L1946" s="1062"/>
      <c r="M1946" s="1062"/>
      <c r="N1946" s="1062"/>
      <c r="O1946" s="1062"/>
      <c r="P1946" s="1062"/>
      <c r="Q1946" s="1062"/>
      <c r="R1946" s="1062"/>
      <c r="S1946" s="1062"/>
      <c r="T1946" s="1062"/>
      <c r="U1946" s="1062"/>
      <c r="V1946" s="27"/>
    </row>
    <row r="1947" spans="1:32" s="20" customFormat="1" ht="14.25" customHeight="1">
      <c r="A1947" s="18"/>
      <c r="C1947" s="37"/>
      <c r="D1947" s="313" t="str">
        <f>"Jumlah Beban Pegawai pada Tahun "&amp;'[1]2.ISIAN DATA SKPD'!D11&amp;" dan tahun "&amp;'[1]2.ISIAN DATA SKPD'!D12&amp;" masing-masing   sebesar Rp. "&amp;FIXED(J1932)&amp;" dan "&amp;FIXED(P1932)&amp;" mengalami kenaikan/penurunan sebesar Rp. "&amp;FIXED(AC1932)&amp;" atau sebesar "&amp;FIXED(Y1932)&amp;"%  dari tahun "&amp;'[1]2.ISIAN DATA SKPD'!D12&amp;"."</f>
        <v>Jumlah Beban Pegawai pada Tahun 2017 dan tahun 2016 masing-masing   sebesar Rp. 10,065,859,811.00 dan 14,212,669,217.00 mengalami kenaikan/penurunan sebesar Rp. -4,146,809,406.00 atau sebesar -29.18%  dari tahun 2016.</v>
      </c>
      <c r="E1947" s="313"/>
      <c r="F1947" s="313"/>
      <c r="G1947" s="313"/>
      <c r="H1947" s="313"/>
      <c r="I1947" s="313"/>
      <c r="J1947" s="313"/>
      <c r="K1947" s="313"/>
      <c r="L1947" s="313"/>
      <c r="M1947" s="313"/>
      <c r="N1947" s="313"/>
      <c r="O1947" s="313"/>
      <c r="P1947" s="313"/>
      <c r="Q1947" s="313"/>
      <c r="R1947" s="313"/>
      <c r="S1947" s="313"/>
      <c r="T1947" s="313"/>
      <c r="U1947" s="313"/>
      <c r="V1947" s="27"/>
    </row>
    <row r="1948" spans="1:32" s="20" customFormat="1" ht="14.25" customHeight="1">
      <c r="A1948" s="18"/>
      <c r="C1948" s="37"/>
      <c r="D1948" s="313" t="s">
        <v>681</v>
      </c>
      <c r="E1948" s="313"/>
      <c r="F1948" s="313"/>
      <c r="G1948" s="313"/>
      <c r="H1948" s="313"/>
      <c r="I1948" s="313"/>
      <c r="J1948" s="313"/>
      <c r="K1948" s="313"/>
      <c r="L1948" s="313"/>
      <c r="M1948" s="313"/>
      <c r="N1948" s="313"/>
      <c r="O1948" s="313"/>
      <c r="P1948" s="313"/>
      <c r="Q1948" s="313"/>
      <c r="R1948" s="313"/>
      <c r="S1948" s="313"/>
      <c r="T1948" s="313"/>
      <c r="U1948" s="313"/>
      <c r="V1948" s="27"/>
    </row>
    <row r="1949" spans="1:32" s="20" customFormat="1" ht="14.25" customHeight="1">
      <c r="A1949" s="18"/>
      <c r="C1949" s="1070"/>
      <c r="D1949" s="407" t="str">
        <f>"Rincian Beban Pegawai Tahun "&amp;'[1]2.ISIAN DATA SKPD'!D11&amp;""</f>
        <v>Rincian Beban Pegawai Tahun 2017</v>
      </c>
      <c r="E1949" s="407"/>
      <c r="F1949" s="407"/>
      <c r="G1949" s="407"/>
      <c r="H1949" s="407"/>
      <c r="I1949" s="407"/>
      <c r="J1949" s="407"/>
      <c r="K1949" s="407"/>
      <c r="L1949" s="407"/>
      <c r="M1949" s="407"/>
      <c r="N1949" s="407"/>
      <c r="O1949" s="407"/>
      <c r="P1949" s="407"/>
      <c r="Q1949" s="407"/>
      <c r="R1949" s="407"/>
      <c r="S1949" s="407"/>
      <c r="T1949" s="407"/>
      <c r="U1949" s="407"/>
      <c r="V1949" s="27"/>
    </row>
    <row r="1950" spans="1:32" s="20" customFormat="1" ht="14.25" customHeight="1">
      <c r="A1950" s="18"/>
      <c r="D1950" s="303" t="s">
        <v>682</v>
      </c>
      <c r="E1950" s="304"/>
      <c r="F1950" s="304"/>
      <c r="G1950" s="304"/>
      <c r="H1950" s="304"/>
      <c r="I1950" s="304"/>
      <c r="J1950" s="304"/>
      <c r="K1950" s="304"/>
      <c r="L1950" s="304"/>
      <c r="M1950" s="304"/>
      <c r="N1950" s="304"/>
      <c r="O1950" s="305"/>
      <c r="P1950" s="132" t="s">
        <v>143</v>
      </c>
      <c r="Q1950" s="132"/>
      <c r="R1950" s="132"/>
      <c r="S1950" s="132"/>
      <c r="T1950" s="132"/>
      <c r="U1950" s="132"/>
      <c r="V1950" s="27"/>
    </row>
    <row r="1951" spans="1:32" s="20" customFormat="1" ht="14.25" customHeight="1">
      <c r="A1951" s="18"/>
      <c r="D1951" s="1071" t="s">
        <v>683</v>
      </c>
      <c r="E1951" s="990"/>
      <c r="F1951" s="990"/>
      <c r="G1951" s="990"/>
      <c r="H1951" s="990"/>
      <c r="I1951" s="990"/>
      <c r="J1951" s="990"/>
      <c r="K1951" s="990"/>
      <c r="L1951" s="990"/>
      <c r="M1951" s="990"/>
      <c r="N1951" s="990"/>
      <c r="O1951" s="990"/>
      <c r="P1951" s="1072">
        <f>SUM(P1952:U1972)</f>
        <v>6688753849</v>
      </c>
      <c r="Q1951" s="1073"/>
      <c r="R1951" s="1073"/>
      <c r="S1951" s="1073"/>
      <c r="T1951" s="1073"/>
      <c r="U1951" s="1074"/>
      <c r="V1951" s="1075"/>
      <c r="W1951" s="614"/>
      <c r="X1951" s="614"/>
      <c r="Y1951" s="614"/>
      <c r="Z1951" s="614"/>
      <c r="AA1951" s="614"/>
      <c r="AB1951" s="614"/>
      <c r="AC1951" s="614"/>
      <c r="AD1951" s="614"/>
      <c r="AE1951" s="614"/>
    </row>
    <row r="1952" spans="1:32" s="20" customFormat="1" ht="14.25" customHeight="1">
      <c r="A1952" s="18"/>
      <c r="D1952" s="1076"/>
      <c r="E1952" s="1077" t="s">
        <v>684</v>
      </c>
      <c r="F1952" s="1078"/>
      <c r="G1952" s="1078"/>
      <c r="H1952" s="1078"/>
      <c r="I1952" s="1078"/>
      <c r="J1952" s="1078"/>
      <c r="K1952" s="1078"/>
      <c r="L1952" s="1078"/>
      <c r="M1952" s="1078"/>
      <c r="N1952" s="1078"/>
      <c r="O1952" s="1078"/>
      <c r="P1952" s="1079">
        <f>'[1]5.LO'!E157</f>
        <v>5233586800</v>
      </c>
      <c r="Q1952" s="1080"/>
      <c r="R1952" s="1080"/>
      <c r="S1952" s="1080"/>
      <c r="T1952" s="1080"/>
      <c r="U1952" s="1081"/>
      <c r="V1952" s="1082"/>
      <c r="W1952" s="614"/>
      <c r="X1952" s="614"/>
      <c r="Y1952" s="614"/>
      <c r="Z1952" s="614"/>
      <c r="AA1952" s="614"/>
      <c r="AB1952" s="614"/>
      <c r="AC1952" s="614"/>
      <c r="AD1952" s="614"/>
      <c r="AE1952" s="614"/>
    </row>
    <row r="1953" spans="1:31" s="20" customFormat="1" ht="14.25" customHeight="1">
      <c r="A1953" s="18"/>
      <c r="D1953" s="1076"/>
      <c r="E1953" s="1077" t="s">
        <v>685</v>
      </c>
      <c r="F1953" s="1078"/>
      <c r="G1953" s="1078"/>
      <c r="H1953" s="1078"/>
      <c r="I1953" s="1078"/>
      <c r="J1953" s="1078"/>
      <c r="K1953" s="1078"/>
      <c r="L1953" s="1078"/>
      <c r="M1953" s="1078"/>
      <c r="N1953" s="1078"/>
      <c r="O1953" s="1078"/>
      <c r="P1953" s="1079">
        <f>'[1]5.LO'!E158</f>
        <v>573524472</v>
      </c>
      <c r="Q1953" s="1080"/>
      <c r="R1953" s="1080"/>
      <c r="S1953" s="1080"/>
      <c r="T1953" s="1080"/>
      <c r="U1953" s="1081"/>
      <c r="V1953" s="1082"/>
      <c r="W1953" s="614"/>
      <c r="X1953" s="614"/>
      <c r="Y1953" s="614"/>
      <c r="Z1953" s="614"/>
      <c r="AA1953" s="614"/>
      <c r="AB1953" s="614"/>
      <c r="AC1953" s="614"/>
      <c r="AD1953" s="614"/>
      <c r="AE1953" s="614"/>
    </row>
    <row r="1954" spans="1:31" s="20" customFormat="1" ht="14.25" customHeight="1">
      <c r="A1954" s="18"/>
      <c r="D1954" s="1076"/>
      <c r="E1954" s="1077" t="s">
        <v>686</v>
      </c>
      <c r="F1954" s="1078"/>
      <c r="G1954" s="1078"/>
      <c r="H1954" s="1078"/>
      <c r="I1954" s="1078"/>
      <c r="J1954" s="1078"/>
      <c r="K1954" s="1078"/>
      <c r="L1954" s="1078"/>
      <c r="M1954" s="1078"/>
      <c r="N1954" s="1078"/>
      <c r="O1954" s="1078"/>
      <c r="P1954" s="1079">
        <f>'[1]5.LO'!E159</f>
        <v>231305000</v>
      </c>
      <c r="Q1954" s="1080"/>
      <c r="R1954" s="1080"/>
      <c r="S1954" s="1080"/>
      <c r="T1954" s="1080"/>
      <c r="U1954" s="1081"/>
      <c r="V1954" s="1082"/>
      <c r="W1954" s="614"/>
      <c r="X1954" s="614"/>
      <c r="Y1954" s="614"/>
      <c r="Z1954" s="614"/>
      <c r="AA1954" s="614"/>
      <c r="AB1954" s="614"/>
      <c r="AC1954" s="614"/>
      <c r="AD1954" s="614"/>
      <c r="AE1954" s="614"/>
    </row>
    <row r="1955" spans="1:31" s="20" customFormat="1" ht="14.25" customHeight="1">
      <c r="A1955" s="18"/>
      <c r="D1955" s="1083"/>
      <c r="E1955" s="1077" t="s">
        <v>687</v>
      </c>
      <c r="F1955" s="1078"/>
      <c r="G1955" s="1078"/>
      <c r="H1955" s="1078"/>
      <c r="I1955" s="1078"/>
      <c r="J1955" s="1078"/>
      <c r="K1955" s="1078"/>
      <c r="L1955" s="1078"/>
      <c r="M1955" s="1078"/>
      <c r="N1955" s="1078"/>
      <c r="O1955" s="1078"/>
      <c r="P1955" s="1079">
        <f>'[1]5.LO'!E160</f>
        <v>19500000</v>
      </c>
      <c r="Q1955" s="1080"/>
      <c r="R1955" s="1080"/>
      <c r="S1955" s="1080"/>
      <c r="T1955" s="1080"/>
      <c r="U1955" s="1081"/>
      <c r="V1955" s="1082"/>
      <c r="W1955" s="614"/>
      <c r="X1955" s="614"/>
      <c r="Y1955" s="614"/>
      <c r="Z1955" s="614"/>
      <c r="AA1955" s="614"/>
      <c r="AB1955" s="614"/>
      <c r="AC1955" s="614"/>
      <c r="AD1955" s="614"/>
      <c r="AE1955" s="614"/>
    </row>
    <row r="1956" spans="1:31" s="20" customFormat="1" ht="14.25" customHeight="1">
      <c r="A1956" s="18"/>
      <c r="D1956" s="1076"/>
      <c r="E1956" s="1077" t="s">
        <v>688</v>
      </c>
      <c r="F1956" s="1078"/>
      <c r="G1956" s="1078"/>
      <c r="H1956" s="1078"/>
      <c r="I1956" s="1078"/>
      <c r="J1956" s="1078"/>
      <c r="K1956" s="1078"/>
      <c r="L1956" s="1078"/>
      <c r="M1956" s="1078"/>
      <c r="N1956" s="1078"/>
      <c r="O1956" s="1078"/>
      <c r="P1956" s="1079">
        <f>'[1]5.LO'!E161</f>
        <v>233940000</v>
      </c>
      <c r="Q1956" s="1080"/>
      <c r="R1956" s="1080"/>
      <c r="S1956" s="1080"/>
      <c r="T1956" s="1080"/>
      <c r="U1956" s="1081"/>
      <c r="V1956" s="1082"/>
      <c r="W1956" s="614"/>
      <c r="X1956" s="614"/>
      <c r="Y1956" s="614"/>
      <c r="Z1956" s="614"/>
      <c r="AA1956" s="614"/>
      <c r="AB1956" s="614"/>
      <c r="AC1956" s="614"/>
      <c r="AD1956" s="614"/>
      <c r="AE1956" s="614"/>
    </row>
    <row r="1957" spans="1:31" s="20" customFormat="1" ht="14.25" customHeight="1">
      <c r="A1957" s="18"/>
      <c r="D1957" s="1076"/>
      <c r="E1957" s="1077" t="s">
        <v>689</v>
      </c>
      <c r="F1957" s="1078"/>
      <c r="G1957" s="1078"/>
      <c r="H1957" s="1078"/>
      <c r="I1957" s="1078"/>
      <c r="J1957" s="1078"/>
      <c r="K1957" s="1078"/>
      <c r="L1957" s="1078"/>
      <c r="M1957" s="1078"/>
      <c r="N1957" s="1078"/>
      <c r="O1957" s="1078"/>
      <c r="P1957" s="1079">
        <f>'[1]5.LO'!E162</f>
        <v>376801260</v>
      </c>
      <c r="Q1957" s="1080"/>
      <c r="R1957" s="1080"/>
      <c r="S1957" s="1080"/>
      <c r="T1957" s="1080"/>
      <c r="U1957" s="1081"/>
      <c r="V1957" s="1082"/>
      <c r="W1957" s="614"/>
      <c r="X1957" s="614"/>
      <c r="Y1957" s="614"/>
      <c r="Z1957" s="614"/>
      <c r="AA1957" s="614"/>
      <c r="AB1957" s="614"/>
      <c r="AC1957" s="614"/>
      <c r="AD1957" s="614"/>
      <c r="AE1957" s="614"/>
    </row>
    <row r="1958" spans="1:31" s="20" customFormat="1" ht="14.25" customHeight="1">
      <c r="A1958" s="18"/>
      <c r="D1958" s="1076"/>
      <c r="E1958" s="1077" t="s">
        <v>690</v>
      </c>
      <c r="F1958" s="1078"/>
      <c r="G1958" s="1078"/>
      <c r="H1958" s="1078"/>
      <c r="I1958" s="1078"/>
      <c r="J1958" s="1078"/>
      <c r="K1958" s="1078"/>
      <c r="L1958" s="1078"/>
      <c r="M1958" s="1078"/>
      <c r="N1958" s="1078"/>
      <c r="O1958" s="1078"/>
      <c r="P1958" s="1079">
        <f>'[1]5.LO'!E163</f>
        <v>20012209</v>
      </c>
      <c r="Q1958" s="1080"/>
      <c r="R1958" s="1080"/>
      <c r="S1958" s="1080"/>
      <c r="T1958" s="1080"/>
      <c r="U1958" s="1081"/>
      <c r="V1958" s="1082"/>
      <c r="W1958" s="614"/>
      <c r="X1958" s="614"/>
      <c r="Y1958" s="614"/>
      <c r="Z1958" s="614"/>
      <c r="AA1958" s="614"/>
      <c r="AB1958" s="614"/>
      <c r="AC1958" s="614"/>
      <c r="AD1958" s="614"/>
      <c r="AE1958" s="614"/>
    </row>
    <row r="1959" spans="1:31" s="20" customFormat="1" ht="14.25" customHeight="1">
      <c r="A1959" s="18"/>
      <c r="D1959" s="1076"/>
      <c r="E1959" s="1077" t="s">
        <v>691</v>
      </c>
      <c r="F1959" s="1078"/>
      <c r="G1959" s="1078"/>
      <c r="H1959" s="1078"/>
      <c r="I1959" s="1078"/>
      <c r="J1959" s="1078"/>
      <c r="K1959" s="1078"/>
      <c r="L1959" s="1078"/>
      <c r="M1959" s="1078"/>
      <c r="N1959" s="1078"/>
      <c r="O1959" s="1078"/>
      <c r="P1959" s="1079">
        <f>'[1]5.LO'!E164</f>
        <v>84108</v>
      </c>
      <c r="Q1959" s="1080"/>
      <c r="R1959" s="1080"/>
      <c r="S1959" s="1080"/>
      <c r="T1959" s="1080"/>
      <c r="U1959" s="1081"/>
      <c r="V1959" s="1082"/>
      <c r="W1959" s="614"/>
      <c r="X1959" s="614"/>
      <c r="Y1959" s="614"/>
      <c r="Z1959" s="614"/>
      <c r="AA1959" s="614"/>
      <c r="AB1959" s="614"/>
      <c r="AC1959" s="614"/>
      <c r="AD1959" s="614"/>
      <c r="AE1959" s="614"/>
    </row>
    <row r="1960" spans="1:31" s="20" customFormat="1" ht="14.25" customHeight="1">
      <c r="A1960" s="18"/>
      <c r="D1960" s="1076"/>
      <c r="E1960" s="1077" t="s">
        <v>692</v>
      </c>
      <c r="F1960" s="1078"/>
      <c r="G1960" s="1078"/>
      <c r="H1960" s="1078"/>
      <c r="I1960" s="1078"/>
      <c r="J1960" s="1078"/>
      <c r="K1960" s="1078"/>
      <c r="L1960" s="1078"/>
      <c r="M1960" s="1078"/>
      <c r="N1960" s="1078"/>
      <c r="O1960" s="1078"/>
      <c r="P1960" s="1079">
        <f>'[1]5.LO'!E165</f>
        <v>0</v>
      </c>
      <c r="Q1960" s="1080"/>
      <c r="R1960" s="1080"/>
      <c r="S1960" s="1080"/>
      <c r="T1960" s="1080"/>
      <c r="U1960" s="1081"/>
      <c r="V1960" s="1082"/>
      <c r="W1960" s="614"/>
      <c r="X1960" s="614"/>
      <c r="Y1960" s="614"/>
      <c r="Z1960" s="614"/>
      <c r="AA1960" s="614"/>
      <c r="AB1960" s="614"/>
      <c r="AC1960" s="614"/>
      <c r="AD1960" s="614"/>
      <c r="AE1960" s="614"/>
    </row>
    <row r="1961" spans="1:31" s="20" customFormat="1" ht="14.25" customHeight="1">
      <c r="A1961" s="18"/>
      <c r="D1961" s="1076"/>
      <c r="E1961" s="1077" t="s">
        <v>693</v>
      </c>
      <c r="F1961" s="1078"/>
      <c r="G1961" s="1078"/>
      <c r="H1961" s="1078"/>
      <c r="I1961" s="1078"/>
      <c r="J1961" s="1078"/>
      <c r="K1961" s="1078"/>
      <c r="L1961" s="1078"/>
      <c r="M1961" s="1078"/>
      <c r="N1961" s="1078"/>
      <c r="O1961" s="1078"/>
      <c r="P1961" s="1079">
        <f>'[1]5.LO'!E166</f>
        <v>0</v>
      </c>
      <c r="Q1961" s="1080"/>
      <c r="R1961" s="1080"/>
      <c r="S1961" s="1080"/>
      <c r="T1961" s="1080"/>
      <c r="U1961" s="1081"/>
      <c r="V1961" s="1082"/>
      <c r="W1961" s="614"/>
      <c r="X1961" s="614"/>
      <c r="Y1961" s="614"/>
      <c r="Z1961" s="614"/>
      <c r="AA1961" s="614"/>
      <c r="AB1961" s="614"/>
      <c r="AC1961" s="614"/>
      <c r="AD1961" s="614"/>
      <c r="AE1961" s="614"/>
    </row>
    <row r="1962" spans="1:31" s="20" customFormat="1" ht="14.25" customHeight="1">
      <c r="A1962" s="18"/>
      <c r="D1962" s="1076"/>
      <c r="E1962" s="1077" t="s">
        <v>694</v>
      </c>
      <c r="F1962" s="1078"/>
      <c r="G1962" s="1078"/>
      <c r="H1962" s="1078"/>
      <c r="I1962" s="1078"/>
      <c r="J1962" s="1078"/>
      <c r="K1962" s="1078"/>
      <c r="L1962" s="1078"/>
      <c r="M1962" s="1078"/>
      <c r="N1962" s="1078"/>
      <c r="O1962" s="1078"/>
      <c r="P1962" s="1079">
        <f>'[1]5.LO'!E167</f>
        <v>0</v>
      </c>
      <c r="Q1962" s="1080"/>
      <c r="R1962" s="1080"/>
      <c r="S1962" s="1080"/>
      <c r="T1962" s="1080"/>
      <c r="U1962" s="1081"/>
      <c r="V1962" s="1082"/>
      <c r="W1962" s="614"/>
      <c r="X1962" s="614"/>
      <c r="Y1962" s="614"/>
      <c r="Z1962" s="614"/>
      <c r="AA1962" s="614"/>
      <c r="AB1962" s="614"/>
      <c r="AC1962" s="614"/>
      <c r="AD1962" s="614"/>
      <c r="AE1962" s="614"/>
    </row>
    <row r="1963" spans="1:31" s="20" customFormat="1" ht="14.25" customHeight="1">
      <c r="A1963" s="18"/>
      <c r="D1963" s="1076"/>
      <c r="E1963" s="1077" t="s">
        <v>695</v>
      </c>
      <c r="F1963" s="1078"/>
      <c r="G1963" s="1078"/>
      <c r="H1963" s="1078"/>
      <c r="I1963" s="1078"/>
      <c r="J1963" s="1078"/>
      <c r="K1963" s="1078"/>
      <c r="L1963" s="1078"/>
      <c r="M1963" s="1078"/>
      <c r="N1963" s="1078"/>
      <c r="O1963" s="1078"/>
      <c r="P1963" s="1079">
        <f>'[1]5.LO'!E168</f>
        <v>0</v>
      </c>
      <c r="Q1963" s="1080"/>
      <c r="R1963" s="1080"/>
      <c r="S1963" s="1080"/>
      <c r="T1963" s="1080"/>
      <c r="U1963" s="1081"/>
      <c r="V1963" s="1082"/>
      <c r="W1963" s="614"/>
      <c r="X1963" s="614"/>
      <c r="Y1963" s="614"/>
      <c r="Z1963" s="614"/>
      <c r="AA1963" s="614"/>
      <c r="AB1963" s="614"/>
      <c r="AC1963" s="614"/>
      <c r="AD1963" s="614"/>
      <c r="AE1963" s="614"/>
    </row>
    <row r="1964" spans="1:31" s="20" customFormat="1" ht="14.25" customHeight="1">
      <c r="A1964" s="18"/>
      <c r="D1964" s="1083"/>
      <c r="E1964" s="1077" t="s">
        <v>696</v>
      </c>
      <c r="F1964" s="1078"/>
      <c r="G1964" s="1078"/>
      <c r="H1964" s="1078"/>
      <c r="I1964" s="1078"/>
      <c r="J1964" s="1078"/>
      <c r="K1964" s="1078"/>
      <c r="L1964" s="1078"/>
      <c r="M1964" s="1078"/>
      <c r="N1964" s="1078"/>
      <c r="O1964" s="1078"/>
      <c r="P1964" s="1079">
        <f>'[1]5.LO'!E169</f>
        <v>0</v>
      </c>
      <c r="Q1964" s="1080"/>
      <c r="R1964" s="1080"/>
      <c r="S1964" s="1080"/>
      <c r="T1964" s="1080"/>
      <c r="U1964" s="1081"/>
      <c r="V1964" s="1082"/>
      <c r="W1964" s="614"/>
      <c r="X1964" s="614"/>
      <c r="Y1964" s="614"/>
      <c r="Z1964" s="614"/>
      <c r="AA1964" s="614"/>
      <c r="AB1964" s="614"/>
      <c r="AC1964" s="614"/>
      <c r="AD1964" s="614"/>
      <c r="AE1964" s="614"/>
    </row>
    <row r="1965" spans="1:31" s="20" customFormat="1" ht="14.25" customHeight="1">
      <c r="A1965" s="18"/>
      <c r="D1965" s="1083"/>
      <c r="E1965" s="1077" t="s">
        <v>697</v>
      </c>
      <c r="F1965" s="1078"/>
      <c r="G1965" s="1078"/>
      <c r="H1965" s="1078"/>
      <c r="I1965" s="1078"/>
      <c r="J1965" s="1078"/>
      <c r="K1965" s="1078"/>
      <c r="L1965" s="1078"/>
      <c r="M1965" s="1078"/>
      <c r="N1965" s="1078"/>
      <c r="O1965" s="1078"/>
      <c r="P1965" s="1079">
        <f>'[1]5.LO'!E170</f>
        <v>0</v>
      </c>
      <c r="Q1965" s="1080"/>
      <c r="R1965" s="1080"/>
      <c r="S1965" s="1080"/>
      <c r="T1965" s="1080"/>
      <c r="U1965" s="1081"/>
      <c r="V1965" s="1082"/>
      <c r="W1965" s="614"/>
      <c r="X1965" s="614"/>
      <c r="Y1965" s="614"/>
      <c r="Z1965" s="614"/>
      <c r="AA1965" s="614"/>
      <c r="AB1965" s="614"/>
      <c r="AC1965" s="614"/>
      <c r="AD1965" s="614"/>
      <c r="AE1965" s="614"/>
    </row>
    <row r="1966" spans="1:31" s="20" customFormat="1" ht="14.25" customHeight="1">
      <c r="A1966" s="18"/>
      <c r="D1966" s="1083"/>
      <c r="E1966" s="1077" t="s">
        <v>698</v>
      </c>
      <c r="F1966" s="1078"/>
      <c r="G1966" s="1078"/>
      <c r="H1966" s="1078"/>
      <c r="I1966" s="1078"/>
      <c r="J1966" s="1078"/>
      <c r="K1966" s="1078"/>
      <c r="L1966" s="1078"/>
      <c r="M1966" s="1078"/>
      <c r="N1966" s="1078"/>
      <c r="O1966" s="1078"/>
      <c r="P1966" s="1079">
        <f>'[1]5.LO'!E171</f>
        <v>0</v>
      </c>
      <c r="Q1966" s="1080"/>
      <c r="R1966" s="1080"/>
      <c r="S1966" s="1080"/>
      <c r="T1966" s="1080"/>
      <c r="U1966" s="1081"/>
      <c r="V1966" s="1082"/>
      <c r="W1966" s="614"/>
      <c r="X1966" s="614"/>
      <c r="Y1966" s="614"/>
      <c r="Z1966" s="614"/>
      <c r="AA1966" s="614"/>
      <c r="AB1966" s="614"/>
      <c r="AC1966" s="614"/>
      <c r="AD1966" s="614"/>
      <c r="AE1966" s="614"/>
    </row>
    <row r="1967" spans="1:31" s="20" customFormat="1" ht="14.25" customHeight="1">
      <c r="A1967" s="18"/>
      <c r="D1967" s="1083"/>
      <c r="E1967" s="1077" t="s">
        <v>699</v>
      </c>
      <c r="F1967" s="1078"/>
      <c r="G1967" s="1078"/>
      <c r="H1967" s="1078"/>
      <c r="I1967" s="1078"/>
      <c r="J1967" s="1078"/>
      <c r="K1967" s="1078"/>
      <c r="L1967" s="1078"/>
      <c r="M1967" s="1078"/>
      <c r="N1967" s="1078"/>
      <c r="O1967" s="1078"/>
      <c r="P1967" s="1079">
        <f>'[1]5.LO'!E172</f>
        <v>0</v>
      </c>
      <c r="Q1967" s="1080"/>
      <c r="R1967" s="1080"/>
      <c r="S1967" s="1080"/>
      <c r="T1967" s="1080"/>
      <c r="U1967" s="1081"/>
      <c r="V1967" s="1082"/>
      <c r="W1967" s="614"/>
      <c r="X1967" s="614"/>
      <c r="Y1967" s="614"/>
      <c r="Z1967" s="614"/>
      <c r="AA1967" s="614"/>
      <c r="AB1967" s="614"/>
      <c r="AC1967" s="614"/>
      <c r="AD1967" s="614"/>
      <c r="AE1967" s="614"/>
    </row>
    <row r="1968" spans="1:31" s="20" customFormat="1" ht="14.25" customHeight="1">
      <c r="A1968" s="18"/>
      <c r="D1968" s="1083"/>
      <c r="E1968" s="1077" t="s">
        <v>700</v>
      </c>
      <c r="F1968" s="1078"/>
      <c r="G1968" s="1078"/>
      <c r="H1968" s="1078"/>
      <c r="I1968" s="1078"/>
      <c r="J1968" s="1078"/>
      <c r="K1968" s="1078"/>
      <c r="L1968" s="1078"/>
      <c r="M1968" s="1078"/>
      <c r="N1968" s="1078"/>
      <c r="O1968" s="1078"/>
      <c r="P1968" s="1079">
        <f>'[1]5.LO'!E173</f>
        <v>0</v>
      </c>
      <c r="Q1968" s="1080"/>
      <c r="R1968" s="1080"/>
      <c r="S1968" s="1080"/>
      <c r="T1968" s="1080"/>
      <c r="U1968" s="1081"/>
      <c r="V1968" s="1082"/>
      <c r="W1968" s="614"/>
      <c r="X1968" s="614"/>
      <c r="Y1968" s="614"/>
      <c r="Z1968" s="614"/>
      <c r="AA1968" s="614"/>
      <c r="AB1968" s="614"/>
      <c r="AC1968" s="614"/>
      <c r="AD1968" s="614"/>
      <c r="AE1968" s="614"/>
    </row>
    <row r="1969" spans="1:31" s="20" customFormat="1" ht="25.5" customHeight="1">
      <c r="A1969" s="18"/>
      <c r="D1969" s="1076"/>
      <c r="E1969" s="1077" t="s">
        <v>701</v>
      </c>
      <c r="F1969" s="1078"/>
      <c r="G1969" s="1078"/>
      <c r="H1969" s="1078"/>
      <c r="I1969" s="1078"/>
      <c r="J1969" s="1078"/>
      <c r="K1969" s="1078"/>
      <c r="L1969" s="1078"/>
      <c r="M1969" s="1078"/>
      <c r="N1969" s="1078"/>
      <c r="O1969" s="1078"/>
      <c r="P1969" s="1079">
        <f>'[1]5.LO'!E174</f>
        <v>0</v>
      </c>
      <c r="Q1969" s="1080"/>
      <c r="R1969" s="1080"/>
      <c r="S1969" s="1080"/>
      <c r="T1969" s="1080"/>
      <c r="U1969" s="1081"/>
      <c r="V1969" s="1082"/>
      <c r="W1969" s="614"/>
      <c r="X1969" s="614"/>
      <c r="Y1969" s="614"/>
      <c r="Z1969" s="614"/>
      <c r="AA1969" s="614"/>
      <c r="AB1969" s="614"/>
      <c r="AC1969" s="614"/>
      <c r="AD1969" s="614"/>
      <c r="AE1969" s="614"/>
    </row>
    <row r="1970" spans="1:31" s="20" customFormat="1" ht="14.25" customHeight="1">
      <c r="A1970" s="18"/>
      <c r="D1970" s="1076"/>
      <c r="E1970" s="1077" t="s">
        <v>702</v>
      </c>
      <c r="F1970" s="1078"/>
      <c r="G1970" s="1078"/>
      <c r="H1970" s="1078"/>
      <c r="I1970" s="1078"/>
      <c r="J1970" s="1078"/>
      <c r="K1970" s="1078"/>
      <c r="L1970" s="1078"/>
      <c r="M1970" s="1078"/>
      <c r="N1970" s="1078"/>
      <c r="O1970" s="1078"/>
      <c r="P1970" s="1079">
        <f>'[1]5.LO'!E175</f>
        <v>0</v>
      </c>
      <c r="Q1970" s="1080"/>
      <c r="R1970" s="1080"/>
      <c r="S1970" s="1080"/>
      <c r="T1970" s="1080"/>
      <c r="U1970" s="1081"/>
      <c r="V1970" s="1082"/>
      <c r="W1970" s="614"/>
      <c r="X1970" s="614"/>
      <c r="Y1970" s="614"/>
      <c r="Z1970" s="614"/>
      <c r="AA1970" s="614"/>
      <c r="AB1970" s="614"/>
      <c r="AC1970" s="614"/>
      <c r="AD1970" s="614"/>
      <c r="AE1970" s="614"/>
    </row>
    <row r="1971" spans="1:31" s="20" customFormat="1" ht="14.25" customHeight="1">
      <c r="A1971" s="18"/>
      <c r="D1971" s="1083"/>
      <c r="E1971" s="1077" t="s">
        <v>703</v>
      </c>
      <c r="F1971" s="1078"/>
      <c r="G1971" s="1078"/>
      <c r="H1971" s="1078"/>
      <c r="I1971" s="1078"/>
      <c r="J1971" s="1078"/>
      <c r="K1971" s="1078"/>
      <c r="L1971" s="1078"/>
      <c r="M1971" s="1078"/>
      <c r="N1971" s="1078"/>
      <c r="O1971" s="1078"/>
      <c r="P1971" s="1079">
        <f>'[1]5.LO'!E176</f>
        <v>0</v>
      </c>
      <c r="Q1971" s="1080"/>
      <c r="R1971" s="1080"/>
      <c r="S1971" s="1080"/>
      <c r="T1971" s="1080"/>
      <c r="U1971" s="1081"/>
      <c r="V1971" s="1082"/>
      <c r="W1971" s="614"/>
      <c r="X1971" s="614"/>
      <c r="Y1971" s="614"/>
      <c r="Z1971" s="614"/>
      <c r="AA1971" s="614"/>
      <c r="AB1971" s="614"/>
      <c r="AC1971" s="614"/>
      <c r="AD1971" s="614"/>
      <c r="AE1971" s="614"/>
    </row>
    <row r="1972" spans="1:31" s="20" customFormat="1" ht="14.25" customHeight="1">
      <c r="A1972" s="18"/>
      <c r="D1972" s="1076"/>
      <c r="E1972" s="1077" t="s">
        <v>704</v>
      </c>
      <c r="F1972" s="1078"/>
      <c r="G1972" s="1078"/>
      <c r="H1972" s="1078"/>
      <c r="I1972" s="1078"/>
      <c r="J1972" s="1078"/>
      <c r="K1972" s="1078"/>
      <c r="L1972" s="1078"/>
      <c r="M1972" s="1078"/>
      <c r="N1972" s="1078"/>
      <c r="O1972" s="1078"/>
      <c r="P1972" s="1079">
        <f>'[1]5.LO'!E177</f>
        <v>0</v>
      </c>
      <c r="Q1972" s="1080"/>
      <c r="R1972" s="1080"/>
      <c r="S1972" s="1080"/>
      <c r="T1972" s="1080"/>
      <c r="U1972" s="1081"/>
      <c r="V1972" s="1082"/>
      <c r="W1972" s="614"/>
      <c r="X1972" s="614"/>
      <c r="Y1972" s="614"/>
      <c r="Z1972" s="614"/>
      <c r="AA1972" s="614"/>
      <c r="AB1972" s="614"/>
      <c r="AC1972" s="614"/>
      <c r="AD1972" s="614"/>
      <c r="AE1972" s="614"/>
    </row>
    <row r="1973" spans="1:31" s="20" customFormat="1" ht="14.25" customHeight="1">
      <c r="A1973" s="18"/>
      <c r="D1973" s="1084" t="s">
        <v>705</v>
      </c>
      <c r="E1973" s="1085"/>
      <c r="F1973" s="1078"/>
      <c r="G1973" s="1078"/>
      <c r="H1973" s="1078"/>
      <c r="I1973" s="1078"/>
      <c r="J1973" s="1078"/>
      <c r="K1973" s="1078"/>
      <c r="L1973" s="1078"/>
      <c r="M1973" s="1078"/>
      <c r="N1973" s="1078"/>
      <c r="O1973" s="1078"/>
      <c r="P1973" s="1072">
        <f>P1974</f>
        <v>2909809500</v>
      </c>
      <c r="Q1973" s="1073"/>
      <c r="R1973" s="1073"/>
      <c r="S1973" s="1073"/>
      <c r="T1973" s="1073"/>
      <c r="U1973" s="1074"/>
      <c r="V1973" s="1075"/>
      <c r="W1973" s="614"/>
      <c r="X1973" s="614"/>
      <c r="Y1973" s="614"/>
      <c r="Z1973" s="614"/>
      <c r="AA1973" s="614"/>
      <c r="AB1973" s="614"/>
      <c r="AC1973" s="614"/>
      <c r="AD1973" s="614"/>
      <c r="AE1973" s="614"/>
    </row>
    <row r="1974" spans="1:31" s="20" customFormat="1" ht="20.25" customHeight="1">
      <c r="A1974" s="18"/>
      <c r="D1974" s="1083"/>
      <c r="E1974" s="1077" t="s">
        <v>706</v>
      </c>
      <c r="F1974" s="1078"/>
      <c r="G1974" s="1078"/>
      <c r="H1974" s="1078"/>
      <c r="I1974" s="1078"/>
      <c r="J1974" s="1078"/>
      <c r="K1974" s="1078"/>
      <c r="L1974" s="1078"/>
      <c r="M1974" s="1078"/>
      <c r="N1974" s="1078"/>
      <c r="O1974" s="1078"/>
      <c r="P1974" s="1079">
        <f>'[1]5.LO'!E179</f>
        <v>2909809500</v>
      </c>
      <c r="Q1974" s="1080"/>
      <c r="R1974" s="1080"/>
      <c r="S1974" s="1080"/>
      <c r="T1974" s="1080"/>
      <c r="U1974" s="1081"/>
      <c r="V1974" s="1082"/>
      <c r="W1974" s="614"/>
      <c r="X1974" s="614"/>
      <c r="Y1974" s="614"/>
      <c r="Z1974" s="614"/>
      <c r="AA1974" s="614"/>
      <c r="AB1974" s="614"/>
      <c r="AC1974" s="614"/>
      <c r="AD1974" s="614"/>
      <c r="AE1974" s="614"/>
    </row>
    <row r="1975" spans="1:31" s="20" customFormat="1" ht="24" customHeight="1">
      <c r="A1975" s="18"/>
      <c r="D1975" s="701" t="s">
        <v>707</v>
      </c>
      <c r="E1975" s="702"/>
      <c r="F1975" s="702"/>
      <c r="G1975" s="702"/>
      <c r="H1975" s="702"/>
      <c r="I1975" s="702"/>
      <c r="J1975" s="702"/>
      <c r="K1975" s="702"/>
      <c r="L1975" s="702"/>
      <c r="M1975" s="702"/>
      <c r="N1975" s="702"/>
      <c r="O1975" s="703"/>
      <c r="P1975" s="1072">
        <f>SUM(P1976:U1977)</f>
        <v>0</v>
      </c>
      <c r="Q1975" s="1073"/>
      <c r="R1975" s="1073"/>
      <c r="S1975" s="1073"/>
      <c r="T1975" s="1073"/>
      <c r="U1975" s="1074"/>
      <c r="V1975" s="1075"/>
      <c r="W1975" s="614"/>
      <c r="X1975" s="614"/>
      <c r="Y1975" s="614"/>
      <c r="Z1975" s="614"/>
      <c r="AA1975" s="614"/>
      <c r="AB1975" s="614"/>
      <c r="AC1975" s="614"/>
      <c r="AD1975" s="614"/>
      <c r="AE1975" s="614"/>
    </row>
    <row r="1976" spans="1:31" s="20" customFormat="1" ht="27" customHeight="1">
      <c r="A1976" s="18"/>
      <c r="D1976" s="1076"/>
      <c r="E1976" s="1001" t="s">
        <v>708</v>
      </c>
      <c r="F1976" s="1001"/>
      <c r="G1976" s="1001"/>
      <c r="H1976" s="1001"/>
      <c r="I1976" s="1001"/>
      <c r="J1976" s="1001"/>
      <c r="K1976" s="1001"/>
      <c r="L1976" s="1001"/>
      <c r="M1976" s="1001"/>
      <c r="N1976" s="1001"/>
      <c r="O1976" s="1002"/>
      <c r="P1976" s="1079">
        <f>'[1]5.LO'!E181</f>
        <v>0</v>
      </c>
      <c r="Q1976" s="1080"/>
      <c r="R1976" s="1080"/>
      <c r="S1976" s="1080"/>
      <c r="T1976" s="1080"/>
      <c r="U1976" s="1081"/>
      <c r="V1976" s="1082"/>
      <c r="W1976" s="614"/>
      <c r="X1976" s="614"/>
      <c r="Y1976" s="614"/>
      <c r="Z1976" s="614"/>
      <c r="AA1976" s="614"/>
      <c r="AB1976" s="614"/>
      <c r="AC1976" s="614"/>
      <c r="AD1976" s="614"/>
      <c r="AE1976" s="614"/>
    </row>
    <row r="1977" spans="1:31" s="20" customFormat="1" ht="14.25" customHeight="1">
      <c r="A1977" s="18"/>
      <c r="D1977" s="1076"/>
      <c r="E1977" s="1077" t="s">
        <v>709</v>
      </c>
      <c r="F1977" s="1078"/>
      <c r="G1977" s="1078"/>
      <c r="H1977" s="1078"/>
      <c r="I1977" s="1078"/>
      <c r="J1977" s="1078"/>
      <c r="K1977" s="1078"/>
      <c r="L1977" s="1078"/>
      <c r="M1977" s="1078"/>
      <c r="N1977" s="1078"/>
      <c r="O1977" s="1078"/>
      <c r="P1977" s="1079">
        <f>'[1]5.LO'!E182</f>
        <v>0</v>
      </c>
      <c r="Q1977" s="1080"/>
      <c r="R1977" s="1080"/>
      <c r="S1977" s="1080"/>
      <c r="T1977" s="1080"/>
      <c r="U1977" s="1081"/>
      <c r="V1977" s="1082"/>
      <c r="W1977" s="614"/>
      <c r="X1977" s="614"/>
      <c r="Y1977" s="614"/>
      <c r="Z1977" s="614"/>
      <c r="AA1977" s="614"/>
      <c r="AB1977" s="614"/>
      <c r="AC1977" s="614"/>
      <c r="AD1977" s="614"/>
      <c r="AE1977" s="614"/>
    </row>
    <row r="1978" spans="1:31" s="20" customFormat="1" ht="26.25" customHeight="1">
      <c r="A1978" s="18"/>
      <c r="D1978" s="1084" t="s">
        <v>710</v>
      </c>
      <c r="E1978" s="1085"/>
      <c r="F1978" s="1078"/>
      <c r="G1978" s="1078"/>
      <c r="H1978" s="1078"/>
      <c r="I1978" s="1078"/>
      <c r="J1978" s="1078"/>
      <c r="K1978" s="1078"/>
      <c r="L1978" s="1078"/>
      <c r="M1978" s="1078"/>
      <c r="N1978" s="1078"/>
      <c r="O1978" s="1078"/>
      <c r="P1978" s="1072">
        <f>P1979</f>
        <v>0</v>
      </c>
      <c r="Q1978" s="1073"/>
      <c r="R1978" s="1073"/>
      <c r="S1978" s="1073"/>
      <c r="T1978" s="1073"/>
      <c r="U1978" s="1074"/>
      <c r="V1978" s="1075"/>
      <c r="W1978" s="614"/>
      <c r="X1978" s="614"/>
      <c r="Y1978" s="614"/>
      <c r="Z1978" s="614"/>
      <c r="AA1978" s="614"/>
      <c r="AB1978" s="614"/>
      <c r="AC1978" s="614"/>
      <c r="AD1978" s="614"/>
      <c r="AE1978" s="614"/>
    </row>
    <row r="1979" spans="1:31" s="20" customFormat="1" ht="15.75" customHeight="1">
      <c r="A1979" s="18"/>
      <c r="D1979" s="1076"/>
      <c r="E1979" s="1077" t="s">
        <v>711</v>
      </c>
      <c r="F1979" s="1078"/>
      <c r="G1979" s="1078"/>
      <c r="H1979" s="1078"/>
      <c r="I1979" s="1078"/>
      <c r="J1979" s="1078"/>
      <c r="K1979" s="1078"/>
      <c r="L1979" s="1078"/>
      <c r="M1979" s="1078"/>
      <c r="N1979" s="1078"/>
      <c r="O1979" s="1078"/>
      <c r="P1979" s="1079">
        <f>'[1]5.LO'!E184</f>
        <v>0</v>
      </c>
      <c r="Q1979" s="1080"/>
      <c r="R1979" s="1080"/>
      <c r="S1979" s="1080"/>
      <c r="T1979" s="1080"/>
      <c r="U1979" s="1081"/>
      <c r="V1979" s="1082"/>
      <c r="W1979" s="614"/>
      <c r="X1979" s="614"/>
      <c r="Y1979" s="614"/>
      <c r="Z1979" s="614"/>
      <c r="AA1979" s="614"/>
      <c r="AB1979" s="614"/>
      <c r="AC1979" s="614"/>
      <c r="AD1979" s="614"/>
      <c r="AE1979" s="614"/>
    </row>
    <row r="1980" spans="1:31" s="20" customFormat="1" ht="14.25" customHeight="1">
      <c r="A1980" s="18"/>
      <c r="D1980" s="1084" t="s">
        <v>712</v>
      </c>
      <c r="E1980" s="1085"/>
      <c r="F1980" s="1078"/>
      <c r="G1980" s="1078"/>
      <c r="H1980" s="1078"/>
      <c r="I1980" s="1078"/>
      <c r="J1980" s="1078"/>
      <c r="K1980" s="1078"/>
      <c r="L1980" s="1078"/>
      <c r="M1980" s="1078"/>
      <c r="N1980" s="1078"/>
      <c r="O1980" s="1078"/>
      <c r="P1980" s="1072">
        <f>P1981</f>
        <v>3944462</v>
      </c>
      <c r="Q1980" s="1073"/>
      <c r="R1980" s="1073"/>
      <c r="S1980" s="1073"/>
      <c r="T1980" s="1073"/>
      <c r="U1980" s="1074"/>
      <c r="V1980" s="1075"/>
      <c r="W1980" s="614"/>
      <c r="X1980" s="614"/>
      <c r="Y1980" s="614"/>
      <c r="Z1980" s="614"/>
      <c r="AA1980" s="614"/>
      <c r="AB1980" s="614"/>
      <c r="AC1980" s="614"/>
      <c r="AD1980" s="614"/>
      <c r="AE1980" s="614"/>
    </row>
    <row r="1981" spans="1:31" s="20" customFormat="1" ht="14.25" customHeight="1">
      <c r="A1981" s="18"/>
      <c r="D1981" s="1076"/>
      <c r="E1981" s="1077" t="s">
        <v>712</v>
      </c>
      <c r="F1981" s="1078"/>
      <c r="G1981" s="1078"/>
      <c r="H1981" s="1078"/>
      <c r="I1981" s="1078"/>
      <c r="J1981" s="1078"/>
      <c r="K1981" s="1078"/>
      <c r="L1981" s="1078"/>
      <c r="M1981" s="1078"/>
      <c r="N1981" s="1078"/>
      <c r="O1981" s="1078"/>
      <c r="P1981" s="1079">
        <f>'[1]5.LO'!E186</f>
        <v>3944462</v>
      </c>
      <c r="Q1981" s="1080"/>
      <c r="R1981" s="1080"/>
      <c r="S1981" s="1080"/>
      <c r="T1981" s="1080"/>
      <c r="U1981" s="1081"/>
      <c r="V1981" s="1082"/>
      <c r="W1981" s="614"/>
      <c r="X1981" s="614"/>
      <c r="Y1981" s="614"/>
      <c r="Z1981" s="614"/>
      <c r="AA1981" s="614"/>
      <c r="AB1981" s="614"/>
      <c r="AC1981" s="614"/>
      <c r="AD1981" s="614"/>
      <c r="AE1981" s="614"/>
    </row>
    <row r="1982" spans="1:31" s="20" customFormat="1" ht="14.25" customHeight="1">
      <c r="A1982" s="18"/>
      <c r="D1982" s="1084" t="s">
        <v>713</v>
      </c>
      <c r="E1982" s="1085"/>
      <c r="F1982" s="1078"/>
      <c r="G1982" s="1078"/>
      <c r="H1982" s="1078"/>
      <c r="I1982" s="1078"/>
      <c r="J1982" s="1078"/>
      <c r="K1982" s="1078"/>
      <c r="L1982" s="1078"/>
      <c r="M1982" s="1078"/>
      <c r="N1982" s="1078"/>
      <c r="O1982" s="1078"/>
      <c r="P1982" s="1072">
        <f>SUM(P1983:U1994)</f>
        <v>367540000</v>
      </c>
      <c r="Q1982" s="1073"/>
      <c r="R1982" s="1073"/>
      <c r="S1982" s="1073"/>
      <c r="T1982" s="1073"/>
      <c r="U1982" s="1074"/>
      <c r="V1982" s="1075"/>
      <c r="W1982" s="614"/>
      <c r="X1982" s="614"/>
      <c r="Y1982" s="614"/>
      <c r="Z1982" s="614"/>
      <c r="AA1982" s="614"/>
      <c r="AB1982" s="614"/>
      <c r="AC1982" s="614"/>
      <c r="AD1982" s="614"/>
      <c r="AE1982" s="614"/>
    </row>
    <row r="1983" spans="1:31" s="20" customFormat="1" ht="14.25" customHeight="1">
      <c r="A1983" s="18"/>
      <c r="D1983" s="1076"/>
      <c r="E1983" s="1077" t="s">
        <v>714</v>
      </c>
      <c r="F1983" s="1078"/>
      <c r="G1983" s="1078"/>
      <c r="H1983" s="1078"/>
      <c r="I1983" s="1078"/>
      <c r="J1983" s="1078"/>
      <c r="K1983" s="1078"/>
      <c r="L1983" s="1078"/>
      <c r="M1983" s="1078"/>
      <c r="N1983" s="1078"/>
      <c r="O1983" s="1078"/>
      <c r="P1983" s="1079">
        <f>'[1]5.LO'!E188</f>
        <v>76155000</v>
      </c>
      <c r="Q1983" s="1080"/>
      <c r="R1983" s="1080"/>
      <c r="S1983" s="1080"/>
      <c r="T1983" s="1080"/>
      <c r="U1983" s="1081"/>
      <c r="V1983" s="1082"/>
      <c r="W1983" s="614"/>
      <c r="X1983" s="614"/>
      <c r="Y1983" s="614"/>
      <c r="Z1983" s="614"/>
      <c r="AA1983" s="614"/>
      <c r="AB1983" s="614"/>
      <c r="AC1983" s="614"/>
      <c r="AD1983" s="614"/>
      <c r="AE1983" s="614"/>
    </row>
    <row r="1984" spans="1:31" s="20" customFormat="1" ht="24" customHeight="1">
      <c r="A1984" s="18"/>
      <c r="D1984" s="1076"/>
      <c r="E1984" s="1001" t="s">
        <v>715</v>
      </c>
      <c r="F1984" s="1001"/>
      <c r="G1984" s="1001"/>
      <c r="H1984" s="1001"/>
      <c r="I1984" s="1001"/>
      <c r="J1984" s="1001"/>
      <c r="K1984" s="1001"/>
      <c r="L1984" s="1001"/>
      <c r="M1984" s="1001"/>
      <c r="N1984" s="1001"/>
      <c r="O1984" s="1002"/>
      <c r="P1984" s="1079">
        <f>'[1]5.LO'!E189</f>
        <v>12400000</v>
      </c>
      <c r="Q1984" s="1080"/>
      <c r="R1984" s="1080"/>
      <c r="S1984" s="1080"/>
      <c r="T1984" s="1080"/>
      <c r="U1984" s="1081"/>
      <c r="V1984" s="1082"/>
      <c r="W1984" s="614"/>
      <c r="X1984" s="614"/>
      <c r="Y1984" s="614"/>
      <c r="Z1984" s="614"/>
      <c r="AA1984" s="614"/>
      <c r="AB1984" s="614"/>
      <c r="AC1984" s="614"/>
      <c r="AD1984" s="614"/>
      <c r="AE1984" s="614"/>
    </row>
    <row r="1985" spans="1:31" s="20" customFormat="1" ht="27.75" customHeight="1">
      <c r="A1985" s="18"/>
      <c r="D1985" s="1076"/>
      <c r="E1985" s="1001" t="s">
        <v>716</v>
      </c>
      <c r="F1985" s="1001"/>
      <c r="G1985" s="1001"/>
      <c r="H1985" s="1001"/>
      <c r="I1985" s="1001"/>
      <c r="J1985" s="1001"/>
      <c r="K1985" s="1001"/>
      <c r="L1985" s="1001"/>
      <c r="M1985" s="1001"/>
      <c r="N1985" s="1001"/>
      <c r="O1985" s="1002"/>
      <c r="P1985" s="1079">
        <f>'[1]5.LO'!E190</f>
        <v>112560000</v>
      </c>
      <c r="Q1985" s="1080"/>
      <c r="R1985" s="1080"/>
      <c r="S1985" s="1080"/>
      <c r="T1985" s="1080"/>
      <c r="U1985" s="1081"/>
      <c r="V1985" s="1082"/>
      <c r="W1985" s="614"/>
      <c r="X1985" s="614"/>
      <c r="Y1985" s="614"/>
      <c r="Z1985" s="614"/>
      <c r="AA1985" s="614"/>
      <c r="AB1985" s="614"/>
      <c r="AC1985" s="614"/>
      <c r="AD1985" s="614"/>
      <c r="AE1985" s="614"/>
    </row>
    <row r="1986" spans="1:31" s="20" customFormat="1" ht="14.25" customHeight="1">
      <c r="A1986" s="18"/>
      <c r="D1986" s="1076"/>
      <c r="E1986" s="1077" t="s">
        <v>717</v>
      </c>
      <c r="F1986" s="1086"/>
      <c r="G1986" s="1086"/>
      <c r="H1986" s="1086"/>
      <c r="I1986" s="1086"/>
      <c r="J1986" s="1086"/>
      <c r="K1986" s="1086"/>
      <c r="L1986" s="1086"/>
      <c r="M1986" s="1086"/>
      <c r="N1986" s="1086"/>
      <c r="O1986" s="1087">
        <f>'[1]2.ISIAN DATA SKPD'!D405</f>
        <v>0</v>
      </c>
      <c r="P1986" s="1079">
        <f>'[1]5.LO'!E191</f>
        <v>0</v>
      </c>
      <c r="Q1986" s="1080"/>
      <c r="R1986" s="1080"/>
      <c r="S1986" s="1080"/>
      <c r="T1986" s="1080"/>
      <c r="U1986" s="1081"/>
      <c r="V1986" s="1082"/>
      <c r="W1986" s="614"/>
      <c r="X1986" s="614"/>
      <c r="Y1986" s="614"/>
      <c r="Z1986" s="614"/>
      <c r="AA1986" s="614"/>
      <c r="AB1986" s="614"/>
      <c r="AC1986" s="614"/>
      <c r="AD1986" s="614"/>
      <c r="AE1986" s="614"/>
    </row>
    <row r="1987" spans="1:31" s="20" customFormat="1" ht="25.5" customHeight="1">
      <c r="A1987" s="7"/>
      <c r="D1987" s="1076"/>
      <c r="E1987" s="1077" t="s">
        <v>718</v>
      </c>
      <c r="F1987" s="1086"/>
      <c r="G1987" s="1086"/>
      <c r="H1987" s="1086"/>
      <c r="I1987" s="1086"/>
      <c r="J1987" s="1086"/>
      <c r="K1987" s="1086"/>
      <c r="L1987" s="1086"/>
      <c r="M1987" s="1086"/>
      <c r="N1987" s="1086"/>
      <c r="O1987" s="1087">
        <f>'[1]2.ISIAN DATA SKPD'!D406</f>
        <v>0</v>
      </c>
      <c r="P1987" s="1079">
        <f>'[1]5.LO'!E192</f>
        <v>0</v>
      </c>
      <c r="Q1987" s="1080"/>
      <c r="R1987" s="1080"/>
      <c r="S1987" s="1080"/>
      <c r="T1987" s="1080"/>
      <c r="U1987" s="1081"/>
      <c r="V1987" s="1082"/>
      <c r="W1987" s="614"/>
      <c r="X1987" s="614"/>
      <c r="Y1987" s="614"/>
      <c r="Z1987" s="614"/>
      <c r="AA1987" s="614"/>
      <c r="AB1987" s="614"/>
      <c r="AC1987" s="614"/>
      <c r="AD1987" s="614"/>
      <c r="AE1987" s="614"/>
    </row>
    <row r="1988" spans="1:31" s="20" customFormat="1" ht="24" customHeight="1">
      <c r="A1988" s="7"/>
      <c r="D1988" s="1076"/>
      <c r="E1988" s="1077" t="s">
        <v>719</v>
      </c>
      <c r="F1988" s="1086"/>
      <c r="G1988" s="1086"/>
      <c r="H1988" s="1086"/>
      <c r="I1988" s="1086"/>
      <c r="J1988" s="1086"/>
      <c r="K1988" s="1086"/>
      <c r="L1988" s="1086"/>
      <c r="M1988" s="1086"/>
      <c r="N1988" s="1086"/>
      <c r="O1988" s="1087"/>
      <c r="P1988" s="1079">
        <f>'[1]5.LO'!E193</f>
        <v>0</v>
      </c>
      <c r="Q1988" s="1080"/>
      <c r="R1988" s="1080"/>
      <c r="S1988" s="1080"/>
      <c r="T1988" s="1080"/>
      <c r="U1988" s="1081"/>
      <c r="V1988" s="1082"/>
      <c r="W1988" s="614"/>
      <c r="X1988" s="614"/>
      <c r="Y1988" s="614"/>
      <c r="Z1988" s="614"/>
      <c r="AA1988" s="614"/>
      <c r="AB1988" s="614"/>
      <c r="AC1988" s="614"/>
      <c r="AD1988" s="614"/>
      <c r="AE1988" s="614"/>
    </row>
    <row r="1989" spans="1:31" s="20" customFormat="1" ht="14.25" customHeight="1">
      <c r="A1989" s="7"/>
      <c r="D1989" s="1076"/>
      <c r="E1989" s="1077" t="s">
        <v>720</v>
      </c>
      <c r="F1989" s="1086"/>
      <c r="G1989" s="1086"/>
      <c r="H1989" s="1086"/>
      <c r="I1989" s="1086"/>
      <c r="J1989" s="1086"/>
      <c r="K1989" s="1086"/>
      <c r="L1989" s="1086"/>
      <c r="M1989" s="1086"/>
      <c r="N1989" s="1086"/>
      <c r="O1989" s="1087"/>
      <c r="P1989" s="1079">
        <f>'[1]5.LO'!E194</f>
        <v>0</v>
      </c>
      <c r="Q1989" s="1080"/>
      <c r="R1989" s="1080"/>
      <c r="S1989" s="1080"/>
      <c r="T1989" s="1080"/>
      <c r="U1989" s="1081"/>
      <c r="V1989" s="1082"/>
      <c r="W1989" s="614"/>
      <c r="X1989" s="614"/>
      <c r="Y1989" s="614"/>
      <c r="Z1989" s="614"/>
      <c r="AA1989" s="614"/>
      <c r="AB1989" s="614"/>
      <c r="AC1989" s="614"/>
      <c r="AD1989" s="614"/>
      <c r="AE1989" s="614"/>
    </row>
    <row r="1990" spans="1:31" s="20" customFormat="1" ht="14.25" customHeight="1">
      <c r="A1990" s="7"/>
      <c r="D1990" s="1076"/>
      <c r="E1990" s="1077" t="s">
        <v>721</v>
      </c>
      <c r="F1990" s="1086"/>
      <c r="G1990" s="1086"/>
      <c r="H1990" s="1086"/>
      <c r="I1990" s="1086"/>
      <c r="J1990" s="1086"/>
      <c r="K1990" s="1086"/>
      <c r="L1990" s="1086"/>
      <c r="M1990" s="1086"/>
      <c r="N1990" s="1086"/>
      <c r="O1990" s="1087"/>
      <c r="P1990" s="1079">
        <f>'[1]5.LO'!E195</f>
        <v>0</v>
      </c>
      <c r="Q1990" s="1080"/>
      <c r="R1990" s="1080"/>
      <c r="S1990" s="1080"/>
      <c r="T1990" s="1080"/>
      <c r="U1990" s="1081"/>
      <c r="V1990" s="1082"/>
      <c r="W1990" s="614"/>
      <c r="X1990" s="614"/>
      <c r="Y1990" s="614"/>
      <c r="Z1990" s="614"/>
      <c r="AA1990" s="614"/>
      <c r="AB1990" s="614"/>
      <c r="AC1990" s="614"/>
      <c r="AD1990" s="614"/>
      <c r="AE1990" s="614"/>
    </row>
    <row r="1991" spans="1:31" s="20" customFormat="1" ht="14.25" customHeight="1">
      <c r="A1991" s="7"/>
      <c r="D1991" s="1076"/>
      <c r="E1991" s="1077" t="s">
        <v>722</v>
      </c>
      <c r="F1991" s="1086"/>
      <c r="G1991" s="1086"/>
      <c r="H1991" s="1086"/>
      <c r="I1991" s="1086"/>
      <c r="J1991" s="1086"/>
      <c r="K1991" s="1086"/>
      <c r="L1991" s="1086"/>
      <c r="M1991" s="1086"/>
      <c r="N1991" s="1086"/>
      <c r="O1991" s="1087"/>
      <c r="P1991" s="1079">
        <f>'[1]5.LO'!E196</f>
        <v>152125000</v>
      </c>
      <c r="Q1991" s="1080"/>
      <c r="R1991" s="1080"/>
      <c r="S1991" s="1080"/>
      <c r="T1991" s="1080"/>
      <c r="U1991" s="1081"/>
      <c r="V1991" s="1082"/>
      <c r="W1991" s="614"/>
      <c r="X1991" s="614"/>
      <c r="Y1991" s="614"/>
      <c r="Z1991" s="614"/>
      <c r="AA1991" s="614"/>
      <c r="AB1991" s="614"/>
      <c r="AC1991" s="614"/>
      <c r="AD1991" s="614"/>
      <c r="AE1991" s="614"/>
    </row>
    <row r="1992" spans="1:31" s="20" customFormat="1" ht="14.25" customHeight="1">
      <c r="A1992" s="7"/>
      <c r="D1992" s="1076"/>
      <c r="E1992" s="1077" t="s">
        <v>723</v>
      </c>
      <c r="F1992" s="1086"/>
      <c r="G1992" s="1086"/>
      <c r="H1992" s="1086"/>
      <c r="I1992" s="1086"/>
      <c r="J1992" s="1086"/>
      <c r="K1992" s="1086"/>
      <c r="L1992" s="1086"/>
      <c r="M1992" s="1086"/>
      <c r="N1992" s="1086"/>
      <c r="O1992" s="1087"/>
      <c r="P1992" s="1079">
        <f>'[1]5.LO'!E197</f>
        <v>14300000</v>
      </c>
      <c r="Q1992" s="1080"/>
      <c r="R1992" s="1080"/>
      <c r="S1992" s="1080"/>
      <c r="T1992" s="1080"/>
      <c r="U1992" s="1081"/>
      <c r="V1992" s="1082"/>
      <c r="W1992" s="614"/>
      <c r="X1992" s="614"/>
      <c r="Y1992" s="614"/>
      <c r="Z1992" s="614"/>
      <c r="AA1992" s="614"/>
      <c r="AB1992" s="614"/>
      <c r="AC1992" s="614"/>
      <c r="AD1992" s="614"/>
      <c r="AE1992" s="614"/>
    </row>
    <row r="1993" spans="1:31" s="20" customFormat="1" ht="14.25" customHeight="1">
      <c r="A1993" s="7"/>
      <c r="D1993" s="1076"/>
      <c r="E1993" s="1077" t="s">
        <v>724</v>
      </c>
      <c r="F1993" s="1086"/>
      <c r="G1993" s="1086"/>
      <c r="H1993" s="1086"/>
      <c r="I1993" s="1086"/>
      <c r="J1993" s="1086"/>
      <c r="K1993" s="1086"/>
      <c r="L1993" s="1086"/>
      <c r="M1993" s="1086"/>
      <c r="N1993" s="1086"/>
      <c r="O1993" s="1087"/>
      <c r="P1993" s="1079">
        <f>'[1]5.LO'!E198</f>
        <v>0</v>
      </c>
      <c r="Q1993" s="1080"/>
      <c r="R1993" s="1080"/>
      <c r="S1993" s="1080"/>
      <c r="T1993" s="1080"/>
      <c r="U1993" s="1081"/>
      <c r="V1993" s="1082"/>
      <c r="W1993" s="614"/>
      <c r="X1993" s="614"/>
      <c r="Y1993" s="614"/>
      <c r="Z1993" s="614"/>
      <c r="AA1993" s="614"/>
      <c r="AB1993" s="614"/>
      <c r="AC1993" s="614"/>
      <c r="AD1993" s="614"/>
      <c r="AE1993" s="614"/>
    </row>
    <row r="1994" spans="1:31" s="20" customFormat="1" ht="27.75" customHeight="1">
      <c r="A1994" s="7"/>
      <c r="D1994" s="1076"/>
      <c r="E1994" s="1077" t="s">
        <v>725</v>
      </c>
      <c r="F1994" s="1086"/>
      <c r="G1994" s="1086"/>
      <c r="H1994" s="1086"/>
      <c r="I1994" s="1086"/>
      <c r="J1994" s="1086"/>
      <c r="K1994" s="1086"/>
      <c r="L1994" s="1086"/>
      <c r="M1994" s="1086"/>
      <c r="N1994" s="1086"/>
      <c r="O1994" s="1087"/>
      <c r="P1994" s="1079">
        <f>'[1]5.LO'!E199</f>
        <v>0</v>
      </c>
      <c r="Q1994" s="1080"/>
      <c r="R1994" s="1080"/>
      <c r="S1994" s="1080"/>
      <c r="T1994" s="1080"/>
      <c r="U1994" s="1081"/>
      <c r="V1994" s="1082"/>
      <c r="W1994" s="614"/>
      <c r="X1994" s="614"/>
      <c r="Y1994" s="614"/>
      <c r="Z1994" s="614"/>
      <c r="AA1994" s="614"/>
      <c r="AB1994" s="614"/>
      <c r="AC1994" s="614"/>
      <c r="AD1994" s="614"/>
      <c r="AE1994" s="614"/>
    </row>
    <row r="1995" spans="1:31" s="20" customFormat="1" ht="14.25" customHeight="1">
      <c r="A1995" s="7"/>
      <c r="D1995" s="1084" t="s">
        <v>726</v>
      </c>
      <c r="E1995" s="1085"/>
      <c r="F1995" s="1086"/>
      <c r="G1995" s="1086"/>
      <c r="H1995" s="1086"/>
      <c r="I1995" s="1086"/>
      <c r="J1995" s="1086"/>
      <c r="K1995" s="1086"/>
      <c r="L1995" s="1086"/>
      <c r="M1995" s="1086"/>
      <c r="N1995" s="1086"/>
      <c r="O1995" s="1087"/>
      <c r="P1995" s="1072">
        <f>SUM(P1996:U2001)</f>
        <v>20350000</v>
      </c>
      <c r="Q1995" s="1073"/>
      <c r="R1995" s="1073"/>
      <c r="S1995" s="1073"/>
      <c r="T1995" s="1073"/>
      <c r="U1995" s="1074"/>
      <c r="V1995" s="1075"/>
      <c r="W1995" s="614"/>
      <c r="X1995" s="614"/>
      <c r="Y1995" s="614"/>
      <c r="Z1995" s="614"/>
      <c r="AA1995" s="614"/>
      <c r="AB1995" s="614"/>
      <c r="AC1995" s="614"/>
      <c r="AD1995" s="614"/>
      <c r="AE1995" s="614"/>
    </row>
    <row r="1996" spans="1:31" s="20" customFormat="1" ht="14.25" customHeight="1">
      <c r="A1996" s="7"/>
      <c r="D1996" s="1076"/>
      <c r="E1996" s="1077" t="s">
        <v>725</v>
      </c>
      <c r="F1996" s="1086"/>
      <c r="G1996" s="1086"/>
      <c r="H1996" s="1086"/>
      <c r="I1996" s="1086"/>
      <c r="J1996" s="1086"/>
      <c r="K1996" s="1086"/>
      <c r="L1996" s="1086"/>
      <c r="M1996" s="1086"/>
      <c r="N1996" s="1086"/>
      <c r="O1996" s="1087"/>
      <c r="P1996" s="1079">
        <f>'[1]5.LO'!E201</f>
        <v>750000</v>
      </c>
      <c r="Q1996" s="1080"/>
      <c r="R1996" s="1080"/>
      <c r="S1996" s="1080"/>
      <c r="T1996" s="1080"/>
      <c r="U1996" s="1081"/>
      <c r="V1996" s="1082"/>
      <c r="W1996" s="614"/>
      <c r="X1996" s="614"/>
      <c r="Y1996" s="614"/>
      <c r="Z1996" s="614"/>
      <c r="AA1996" s="614"/>
      <c r="AB1996" s="614"/>
      <c r="AC1996" s="614"/>
      <c r="AD1996" s="614"/>
      <c r="AE1996" s="614"/>
    </row>
    <row r="1997" spans="1:31" s="20" customFormat="1" ht="14.25" customHeight="1">
      <c r="A1997" s="7"/>
      <c r="D1997" s="1076"/>
      <c r="E1997" s="1077" t="s">
        <v>727</v>
      </c>
      <c r="F1997" s="1086"/>
      <c r="G1997" s="1086"/>
      <c r="H1997" s="1086"/>
      <c r="I1997" s="1086"/>
      <c r="J1997" s="1086"/>
      <c r="K1997" s="1086"/>
      <c r="L1997" s="1086"/>
      <c r="M1997" s="1086"/>
      <c r="N1997" s="1086"/>
      <c r="O1997" s="1087"/>
      <c r="P1997" s="1079">
        <f>'[1]5.LO'!E202</f>
        <v>1600000</v>
      </c>
      <c r="Q1997" s="1080"/>
      <c r="R1997" s="1080"/>
      <c r="S1997" s="1080"/>
      <c r="T1997" s="1080"/>
      <c r="U1997" s="1081"/>
      <c r="V1997" s="1082"/>
      <c r="W1997" s="614"/>
      <c r="X1997" s="614"/>
      <c r="Y1997" s="614"/>
      <c r="Z1997" s="614"/>
      <c r="AA1997" s="614"/>
      <c r="AB1997" s="614"/>
      <c r="AC1997" s="614"/>
      <c r="AD1997" s="614"/>
      <c r="AE1997" s="614"/>
    </row>
    <row r="1998" spans="1:31" s="20" customFormat="1" ht="14.25" customHeight="1">
      <c r="A1998" s="7"/>
      <c r="D1998" s="1076"/>
      <c r="E1998" s="1077" t="s">
        <v>728</v>
      </c>
      <c r="F1998" s="1086"/>
      <c r="G1998" s="1086"/>
      <c r="H1998" s="1086"/>
      <c r="I1998" s="1086"/>
      <c r="J1998" s="1086"/>
      <c r="K1998" s="1086"/>
      <c r="L1998" s="1086"/>
      <c r="M1998" s="1086"/>
      <c r="N1998" s="1086"/>
      <c r="O1998" s="1087"/>
      <c r="P1998" s="1079">
        <f>'[1]5.LO'!E203</f>
        <v>0</v>
      </c>
      <c r="Q1998" s="1080"/>
      <c r="R1998" s="1080"/>
      <c r="S1998" s="1080"/>
      <c r="T1998" s="1080"/>
      <c r="U1998" s="1081"/>
      <c r="V1998" s="1082"/>
      <c r="W1998" s="614"/>
      <c r="X1998" s="614"/>
      <c r="Y1998" s="614"/>
      <c r="Z1998" s="614"/>
      <c r="AA1998" s="614"/>
      <c r="AB1998" s="614"/>
      <c r="AC1998" s="614"/>
      <c r="AD1998" s="614"/>
      <c r="AE1998" s="614"/>
    </row>
    <row r="1999" spans="1:31" s="20" customFormat="1" ht="15.75" customHeight="1">
      <c r="A1999" s="7"/>
      <c r="D1999" s="1076"/>
      <c r="E1999" s="1077" t="s">
        <v>729</v>
      </c>
      <c r="F1999" s="1086"/>
      <c r="G1999" s="1086"/>
      <c r="H1999" s="1086"/>
      <c r="I1999" s="1086"/>
      <c r="J1999" s="1086"/>
      <c r="K1999" s="1086"/>
      <c r="L1999" s="1086"/>
      <c r="M1999" s="1086"/>
      <c r="N1999" s="1086"/>
      <c r="O1999" s="1087"/>
      <c r="P1999" s="1079">
        <f>'[1]5.LO'!E204</f>
        <v>0</v>
      </c>
      <c r="Q1999" s="1080"/>
      <c r="R1999" s="1080"/>
      <c r="S1999" s="1080"/>
      <c r="T1999" s="1080"/>
      <c r="U1999" s="1081"/>
      <c r="V1999" s="1082"/>
      <c r="W1999" s="614"/>
      <c r="X1999" s="614"/>
      <c r="Y1999" s="614"/>
      <c r="Z1999" s="614"/>
      <c r="AA1999" s="614"/>
      <c r="AB1999" s="614"/>
      <c r="AC1999" s="614"/>
      <c r="AD1999" s="614"/>
      <c r="AE1999" s="614"/>
    </row>
    <row r="2000" spans="1:31" s="20" customFormat="1" ht="22.5" customHeight="1">
      <c r="A2000" s="7"/>
      <c r="D2000" s="1076"/>
      <c r="E2000" s="1001" t="s">
        <v>730</v>
      </c>
      <c r="F2000" s="1001"/>
      <c r="G2000" s="1001"/>
      <c r="H2000" s="1001"/>
      <c r="I2000" s="1001"/>
      <c r="J2000" s="1001"/>
      <c r="K2000" s="1001"/>
      <c r="L2000" s="1001"/>
      <c r="M2000" s="1001"/>
      <c r="N2000" s="1001"/>
      <c r="O2000" s="1002"/>
      <c r="P2000" s="1079">
        <f>'[1]5.LO'!E205</f>
        <v>18000000</v>
      </c>
      <c r="Q2000" s="1080"/>
      <c r="R2000" s="1080"/>
      <c r="S2000" s="1080"/>
      <c r="T2000" s="1080"/>
      <c r="U2000" s="1081"/>
      <c r="V2000" s="1082"/>
      <c r="W2000" s="614"/>
      <c r="X2000" s="614"/>
      <c r="Y2000" s="614"/>
      <c r="Z2000" s="614"/>
      <c r="AA2000" s="614"/>
      <c r="AB2000" s="614"/>
      <c r="AC2000" s="614"/>
      <c r="AD2000" s="614"/>
      <c r="AE2000" s="614"/>
    </row>
    <row r="2001" spans="1:31" s="20" customFormat="1" ht="12.75" customHeight="1">
      <c r="A2001" s="7"/>
      <c r="D2001" s="1076"/>
      <c r="E2001" s="1077" t="s">
        <v>731</v>
      </c>
      <c r="F2001" s="1086"/>
      <c r="G2001" s="1086"/>
      <c r="H2001" s="1086"/>
      <c r="I2001" s="1086"/>
      <c r="J2001" s="1086"/>
      <c r="K2001" s="1086"/>
      <c r="L2001" s="1086"/>
      <c r="M2001" s="1086"/>
      <c r="N2001" s="1086"/>
      <c r="O2001" s="1087"/>
      <c r="P2001" s="1079">
        <f>'[1]5.LO'!E206</f>
        <v>0</v>
      </c>
      <c r="Q2001" s="1080"/>
      <c r="R2001" s="1080"/>
      <c r="S2001" s="1080"/>
      <c r="T2001" s="1080"/>
      <c r="U2001" s="1081"/>
      <c r="V2001" s="1082"/>
      <c r="W2001" s="614"/>
      <c r="X2001" s="614"/>
      <c r="Y2001" s="614"/>
      <c r="Z2001" s="614"/>
      <c r="AA2001" s="614"/>
      <c r="AB2001" s="614"/>
      <c r="AC2001" s="614"/>
      <c r="AD2001" s="614"/>
      <c r="AE2001" s="614"/>
    </row>
    <row r="2002" spans="1:31" s="20" customFormat="1" ht="12.75" customHeight="1">
      <c r="A2002" s="7"/>
      <c r="D2002" s="1084" t="s">
        <v>732</v>
      </c>
      <c r="E2002" s="1085"/>
      <c r="F2002" s="1086"/>
      <c r="G2002" s="1086"/>
      <c r="H2002" s="1086"/>
      <c r="I2002" s="1086"/>
      <c r="J2002" s="1086"/>
      <c r="K2002" s="1086"/>
      <c r="L2002" s="1086"/>
      <c r="M2002" s="1086"/>
      <c r="N2002" s="1086"/>
      <c r="O2002" s="1087"/>
      <c r="P2002" s="1072">
        <f>SUM(P2003:U2004)</f>
        <v>75462000</v>
      </c>
      <c r="Q2002" s="1073"/>
      <c r="R2002" s="1073"/>
      <c r="S2002" s="1073"/>
      <c r="T2002" s="1073"/>
      <c r="U2002" s="1074"/>
      <c r="V2002" s="1075"/>
      <c r="W2002" s="614"/>
      <c r="X2002" s="614"/>
      <c r="Y2002" s="614"/>
      <c r="Z2002" s="614"/>
      <c r="AA2002" s="614"/>
      <c r="AB2002" s="614"/>
      <c r="AC2002" s="614"/>
      <c r="AD2002" s="614"/>
      <c r="AE2002" s="614"/>
    </row>
    <row r="2003" spans="1:31" s="20" customFormat="1" ht="12.75" customHeight="1">
      <c r="A2003" s="7"/>
      <c r="D2003" s="1076"/>
      <c r="E2003" s="1077" t="s">
        <v>733</v>
      </c>
      <c r="F2003" s="1086"/>
      <c r="G2003" s="1086"/>
      <c r="H2003" s="1086"/>
      <c r="I2003" s="1086"/>
      <c r="J2003" s="1086"/>
      <c r="K2003" s="1086"/>
      <c r="L2003" s="1086"/>
      <c r="M2003" s="1086"/>
      <c r="N2003" s="1086"/>
      <c r="O2003" s="1087"/>
      <c r="P2003" s="1079">
        <f>'[1]5.LO'!E208</f>
        <v>65172000</v>
      </c>
      <c r="Q2003" s="1080"/>
      <c r="R2003" s="1080"/>
      <c r="S2003" s="1080"/>
      <c r="T2003" s="1080"/>
      <c r="U2003" s="1081"/>
      <c r="V2003" s="1082"/>
      <c r="W2003" s="614"/>
      <c r="X2003" s="614"/>
      <c r="Y2003" s="614"/>
      <c r="Z2003" s="614"/>
      <c r="AA2003" s="614"/>
      <c r="AB2003" s="614"/>
      <c r="AC2003" s="614"/>
      <c r="AD2003" s="614"/>
      <c r="AE2003" s="614"/>
    </row>
    <row r="2004" spans="1:31" s="20" customFormat="1" ht="12.75" customHeight="1">
      <c r="A2004" s="7"/>
      <c r="D2004" s="1076"/>
      <c r="E2004" s="1077" t="s">
        <v>734</v>
      </c>
      <c r="F2004" s="1086"/>
      <c r="G2004" s="1086"/>
      <c r="H2004" s="1086"/>
      <c r="I2004" s="1086"/>
      <c r="J2004" s="1086"/>
      <c r="K2004" s="1086"/>
      <c r="L2004" s="1086"/>
      <c r="M2004" s="1086"/>
      <c r="N2004" s="1086"/>
      <c r="O2004" s="1087"/>
      <c r="P2004" s="1079">
        <f>'[1]5.LO'!E209</f>
        <v>10290000</v>
      </c>
      <c r="Q2004" s="1080"/>
      <c r="R2004" s="1080"/>
      <c r="S2004" s="1080"/>
      <c r="T2004" s="1080"/>
      <c r="U2004" s="1081"/>
      <c r="V2004" s="1082"/>
      <c r="W2004" s="614"/>
      <c r="X2004" s="614"/>
      <c r="Y2004" s="614"/>
      <c r="Z2004" s="614"/>
      <c r="AA2004" s="614"/>
      <c r="AB2004" s="614"/>
      <c r="AC2004" s="614"/>
      <c r="AD2004" s="614"/>
      <c r="AE2004" s="614"/>
    </row>
    <row r="2005" spans="1:31" s="20" customFormat="1" ht="12.75" customHeight="1">
      <c r="A2005" s="7"/>
      <c r="D2005" s="701" t="s">
        <v>735</v>
      </c>
      <c r="E2005" s="702"/>
      <c r="F2005" s="702"/>
      <c r="G2005" s="702"/>
      <c r="H2005" s="702"/>
      <c r="I2005" s="702"/>
      <c r="J2005" s="702"/>
      <c r="K2005" s="702"/>
      <c r="L2005" s="702"/>
      <c r="M2005" s="702"/>
      <c r="N2005" s="702"/>
      <c r="O2005" s="703"/>
      <c r="P2005" s="1072">
        <f>SUM(P2006:U2007)</f>
        <v>0</v>
      </c>
      <c r="Q2005" s="1073"/>
      <c r="R2005" s="1073"/>
      <c r="S2005" s="1073"/>
      <c r="T2005" s="1073"/>
      <c r="U2005" s="1074"/>
      <c r="V2005" s="1075"/>
      <c r="W2005" s="614"/>
      <c r="X2005" s="614"/>
      <c r="Y2005" s="614"/>
      <c r="Z2005" s="614"/>
      <c r="AA2005" s="614"/>
      <c r="AB2005" s="614"/>
      <c r="AC2005" s="614"/>
      <c r="AD2005" s="614"/>
      <c r="AE2005" s="614"/>
    </row>
    <row r="2006" spans="1:31" s="20" customFormat="1" ht="12.75" customHeight="1">
      <c r="A2006" s="7"/>
      <c r="D2006" s="1076"/>
      <c r="E2006" s="1077" t="s">
        <v>736</v>
      </c>
      <c r="F2006" s="1086"/>
      <c r="G2006" s="1086"/>
      <c r="H2006" s="1086"/>
      <c r="I2006" s="1086"/>
      <c r="J2006" s="1086"/>
      <c r="K2006" s="1086"/>
      <c r="L2006" s="1086"/>
      <c r="M2006" s="1086"/>
      <c r="N2006" s="1086"/>
      <c r="O2006" s="1087"/>
      <c r="P2006" s="1079">
        <f>'[1]5.LO'!E211</f>
        <v>0</v>
      </c>
      <c r="Q2006" s="1080"/>
      <c r="R2006" s="1080"/>
      <c r="S2006" s="1080"/>
      <c r="T2006" s="1080"/>
      <c r="U2006" s="1081"/>
      <c r="V2006" s="1082"/>
      <c r="W2006" s="614"/>
      <c r="X2006" s="614"/>
      <c r="Y2006" s="614"/>
      <c r="Z2006" s="614"/>
      <c r="AA2006" s="614"/>
      <c r="AB2006" s="614"/>
      <c r="AC2006" s="614"/>
      <c r="AD2006" s="614"/>
      <c r="AE2006" s="614"/>
    </row>
    <row r="2007" spans="1:31" s="20" customFormat="1" ht="12.75" customHeight="1">
      <c r="A2007" s="7"/>
      <c r="D2007" s="1076"/>
      <c r="E2007" s="1077" t="s">
        <v>737</v>
      </c>
      <c r="F2007" s="1086"/>
      <c r="G2007" s="1086"/>
      <c r="H2007" s="1086"/>
      <c r="I2007" s="1086"/>
      <c r="J2007" s="1086"/>
      <c r="K2007" s="1086"/>
      <c r="L2007" s="1086"/>
      <c r="M2007" s="1086"/>
      <c r="N2007" s="1086"/>
      <c r="O2007" s="1087"/>
      <c r="P2007" s="1079">
        <f>'[1]5.LO'!E212</f>
        <v>0</v>
      </c>
      <c r="Q2007" s="1080"/>
      <c r="R2007" s="1080"/>
      <c r="S2007" s="1080"/>
      <c r="T2007" s="1080"/>
      <c r="U2007" s="1081"/>
      <c r="V2007" s="1082"/>
      <c r="W2007" s="614"/>
      <c r="X2007" s="614"/>
      <c r="Y2007" s="614"/>
      <c r="Z2007" s="614"/>
      <c r="AA2007" s="614"/>
      <c r="AB2007" s="614"/>
      <c r="AC2007" s="614"/>
      <c r="AD2007" s="614"/>
      <c r="AE2007" s="614"/>
    </row>
    <row r="2008" spans="1:31" s="20" customFormat="1" ht="12.75" customHeight="1">
      <c r="A2008" s="7"/>
      <c r="D2008" s="1084" t="s">
        <v>738</v>
      </c>
      <c r="E2008" s="1085"/>
      <c r="F2008" s="1086"/>
      <c r="G2008" s="1086"/>
      <c r="H2008" s="1086"/>
      <c r="I2008" s="1086"/>
      <c r="J2008" s="1086"/>
      <c r="K2008" s="1086"/>
      <c r="L2008" s="1086"/>
      <c r="M2008" s="1086"/>
      <c r="N2008" s="1086"/>
      <c r="O2008" s="1087"/>
      <c r="P2008" s="1072">
        <f>SUM(P2009:U2010)</f>
        <v>0</v>
      </c>
      <c r="Q2008" s="1073"/>
      <c r="R2008" s="1073"/>
      <c r="S2008" s="1073"/>
      <c r="T2008" s="1073"/>
      <c r="U2008" s="1074"/>
      <c r="V2008" s="1075"/>
      <c r="W2008" s="614"/>
      <c r="X2008" s="614"/>
      <c r="Y2008" s="614"/>
      <c r="Z2008" s="614"/>
      <c r="AA2008" s="614"/>
      <c r="AB2008" s="614"/>
      <c r="AC2008" s="614"/>
      <c r="AD2008" s="614"/>
      <c r="AE2008" s="614"/>
    </row>
    <row r="2009" spans="1:31" s="20" customFormat="1" ht="12.75" customHeight="1">
      <c r="A2009" s="7"/>
      <c r="D2009" s="1076"/>
      <c r="E2009" s="1077" t="s">
        <v>739</v>
      </c>
      <c r="F2009" s="1086"/>
      <c r="G2009" s="1086"/>
      <c r="H2009" s="1086"/>
      <c r="I2009" s="1086"/>
      <c r="J2009" s="1086"/>
      <c r="K2009" s="1086"/>
      <c r="L2009" s="1086"/>
      <c r="M2009" s="1086"/>
      <c r="N2009" s="1086"/>
      <c r="O2009" s="1087"/>
      <c r="P2009" s="1079">
        <f>'[1]5.LO'!E214</f>
        <v>0</v>
      </c>
      <c r="Q2009" s="1080"/>
      <c r="R2009" s="1080"/>
      <c r="S2009" s="1080"/>
      <c r="T2009" s="1080"/>
      <c r="U2009" s="1081"/>
      <c r="V2009" s="1082"/>
      <c r="W2009" s="614"/>
      <c r="X2009" s="614"/>
      <c r="Y2009" s="614"/>
      <c r="Z2009" s="614"/>
      <c r="AA2009" s="614"/>
      <c r="AB2009" s="614"/>
      <c r="AC2009" s="614"/>
      <c r="AD2009" s="614"/>
      <c r="AE2009" s="614"/>
    </row>
    <row r="2010" spans="1:31" s="20" customFormat="1" ht="20.25" customHeight="1">
      <c r="A2010" s="7"/>
      <c r="D2010" s="1076"/>
      <c r="E2010" s="1077" t="s">
        <v>740</v>
      </c>
      <c r="F2010" s="1086"/>
      <c r="G2010" s="1086"/>
      <c r="H2010" s="1086"/>
      <c r="I2010" s="1086"/>
      <c r="J2010" s="1086"/>
      <c r="K2010" s="1086"/>
      <c r="L2010" s="1086"/>
      <c r="M2010" s="1086"/>
      <c r="N2010" s="1086"/>
      <c r="O2010" s="1087"/>
      <c r="P2010" s="1079">
        <f>'[1]5.LO'!E215</f>
        <v>0</v>
      </c>
      <c r="Q2010" s="1080"/>
      <c r="R2010" s="1080"/>
      <c r="S2010" s="1080"/>
      <c r="T2010" s="1080"/>
      <c r="U2010" s="1081"/>
      <c r="V2010" s="1082"/>
      <c r="W2010" s="614"/>
      <c r="X2010" s="614"/>
      <c r="Y2010" s="614"/>
      <c r="Z2010" s="614"/>
      <c r="AA2010" s="614"/>
      <c r="AB2010" s="614"/>
      <c r="AC2010" s="614"/>
      <c r="AD2010" s="614"/>
      <c r="AE2010" s="614"/>
    </row>
    <row r="2011" spans="1:31" s="20" customFormat="1" ht="20.25" customHeight="1">
      <c r="A2011" s="7"/>
      <c r="D2011" s="1084" t="s">
        <v>741</v>
      </c>
      <c r="E2011" s="1085"/>
      <c r="F2011" s="1086"/>
      <c r="G2011" s="1086"/>
      <c r="H2011" s="1086"/>
      <c r="I2011" s="1086"/>
      <c r="J2011" s="1086"/>
      <c r="K2011" s="1086"/>
      <c r="L2011" s="1086"/>
      <c r="M2011" s="1086"/>
      <c r="N2011" s="1086"/>
      <c r="O2011" s="1087"/>
      <c r="P2011" s="1072">
        <f>SUM(P2012:U2015)</f>
        <v>0</v>
      </c>
      <c r="Q2011" s="1073"/>
      <c r="R2011" s="1073"/>
      <c r="S2011" s="1073"/>
      <c r="T2011" s="1073"/>
      <c r="U2011" s="1074"/>
      <c r="V2011" s="1075"/>
      <c r="W2011" s="614"/>
      <c r="X2011" s="614"/>
      <c r="Y2011" s="614"/>
      <c r="Z2011" s="614"/>
      <c r="AA2011" s="614"/>
      <c r="AB2011" s="614"/>
      <c r="AC2011" s="614"/>
      <c r="AD2011" s="614"/>
      <c r="AE2011" s="614"/>
    </row>
    <row r="2012" spans="1:31" s="20" customFormat="1" ht="20.25" customHeight="1">
      <c r="A2012" s="7"/>
      <c r="D2012" s="1076"/>
      <c r="E2012" s="1077" t="s">
        <v>742</v>
      </c>
      <c r="F2012" s="1086"/>
      <c r="G2012" s="1086"/>
      <c r="H2012" s="1086"/>
      <c r="I2012" s="1086"/>
      <c r="J2012" s="1086"/>
      <c r="K2012" s="1086"/>
      <c r="L2012" s="1086"/>
      <c r="M2012" s="1086"/>
      <c r="N2012" s="1086"/>
      <c r="O2012" s="1087"/>
      <c r="P2012" s="1079">
        <f>'[1]5.LO'!E217</f>
        <v>0</v>
      </c>
      <c r="Q2012" s="1080"/>
      <c r="R2012" s="1080"/>
      <c r="S2012" s="1080"/>
      <c r="T2012" s="1080"/>
      <c r="U2012" s="1081"/>
      <c r="V2012" s="1082"/>
      <c r="W2012" s="614"/>
      <c r="X2012" s="614"/>
      <c r="Y2012" s="614"/>
      <c r="Z2012" s="614"/>
      <c r="AA2012" s="614"/>
      <c r="AB2012" s="614"/>
      <c r="AC2012" s="614"/>
      <c r="AD2012" s="614"/>
      <c r="AE2012" s="614"/>
    </row>
    <row r="2013" spans="1:31" s="20" customFormat="1" ht="23.25" customHeight="1">
      <c r="A2013" s="7"/>
      <c r="D2013" s="1076"/>
      <c r="E2013" s="1077" t="s">
        <v>743</v>
      </c>
      <c r="F2013" s="1086"/>
      <c r="G2013" s="1086"/>
      <c r="H2013" s="1086"/>
      <c r="I2013" s="1086"/>
      <c r="J2013" s="1086"/>
      <c r="K2013" s="1086"/>
      <c r="L2013" s="1086"/>
      <c r="M2013" s="1086"/>
      <c r="N2013" s="1086"/>
      <c r="O2013" s="1087"/>
      <c r="P2013" s="1079">
        <f>'[1]5.LO'!E218</f>
        <v>0</v>
      </c>
      <c r="Q2013" s="1080"/>
      <c r="R2013" s="1080"/>
      <c r="S2013" s="1080"/>
      <c r="T2013" s="1080"/>
      <c r="U2013" s="1081"/>
      <c r="V2013" s="1082"/>
      <c r="W2013" s="614"/>
      <c r="X2013" s="614"/>
      <c r="Y2013" s="614"/>
      <c r="Z2013" s="614"/>
      <c r="AA2013" s="614"/>
      <c r="AB2013" s="614"/>
      <c r="AC2013" s="614"/>
      <c r="AD2013" s="614"/>
      <c r="AE2013" s="614"/>
    </row>
    <row r="2014" spans="1:31" s="20" customFormat="1" ht="28.5" customHeight="1">
      <c r="A2014" s="7"/>
      <c r="D2014" s="1076"/>
      <c r="E2014" s="1077" t="s">
        <v>744</v>
      </c>
      <c r="F2014" s="1086"/>
      <c r="G2014" s="1086"/>
      <c r="H2014" s="1086"/>
      <c r="I2014" s="1086"/>
      <c r="J2014" s="1086"/>
      <c r="K2014" s="1086"/>
      <c r="L2014" s="1086"/>
      <c r="M2014" s="1086"/>
      <c r="N2014" s="1086"/>
      <c r="O2014" s="1087"/>
      <c r="P2014" s="1079">
        <f>'[1]5.LO'!E219</f>
        <v>0</v>
      </c>
      <c r="Q2014" s="1080"/>
      <c r="R2014" s="1080"/>
      <c r="S2014" s="1080"/>
      <c r="T2014" s="1080"/>
      <c r="U2014" s="1081"/>
      <c r="V2014" s="1082"/>
      <c r="W2014" s="614"/>
      <c r="X2014" s="614"/>
      <c r="Y2014" s="614"/>
      <c r="Z2014" s="614"/>
      <c r="AA2014" s="614"/>
      <c r="AB2014" s="614"/>
      <c r="AC2014" s="614"/>
      <c r="AD2014" s="614"/>
      <c r="AE2014" s="614"/>
    </row>
    <row r="2015" spans="1:31" s="20" customFormat="1" ht="20.25" customHeight="1">
      <c r="A2015" s="7"/>
      <c r="D2015" s="1076"/>
      <c r="E2015" s="1077" t="s">
        <v>745</v>
      </c>
      <c r="F2015" s="1086"/>
      <c r="G2015" s="1086"/>
      <c r="H2015" s="1086"/>
      <c r="I2015" s="1086"/>
      <c r="J2015" s="1086"/>
      <c r="K2015" s="1086"/>
      <c r="L2015" s="1086"/>
      <c r="M2015" s="1086"/>
      <c r="N2015" s="1086"/>
      <c r="O2015" s="1087"/>
      <c r="P2015" s="1079">
        <f>'[1]5.LO'!E220</f>
        <v>0</v>
      </c>
      <c r="Q2015" s="1080"/>
      <c r="R2015" s="1080"/>
      <c r="S2015" s="1080"/>
      <c r="T2015" s="1080"/>
      <c r="U2015" s="1081"/>
      <c r="V2015" s="1082"/>
      <c r="W2015" s="614"/>
      <c r="X2015" s="614"/>
      <c r="Y2015" s="614"/>
      <c r="Z2015" s="614"/>
      <c r="AA2015" s="614"/>
      <c r="AB2015" s="614"/>
      <c r="AC2015" s="614"/>
      <c r="AD2015" s="614"/>
      <c r="AE2015" s="614"/>
    </row>
    <row r="2016" spans="1:31" s="20" customFormat="1" ht="20.25" customHeight="1">
      <c r="A2016" s="14"/>
      <c r="D2016" s="411" t="s">
        <v>746</v>
      </c>
      <c r="E2016" s="454"/>
      <c r="F2016" s="454"/>
      <c r="G2016" s="454"/>
      <c r="H2016" s="454"/>
      <c r="I2016" s="454"/>
      <c r="J2016" s="454"/>
      <c r="K2016" s="454"/>
      <c r="L2016" s="454"/>
      <c r="M2016" s="454"/>
      <c r="N2016" s="454"/>
      <c r="O2016" s="455"/>
      <c r="P2016" s="1072">
        <f>P2011+P2008+P2005+P2002+P1995+P1982+P1980+P1978+P1975+P1973+P1951</f>
        <v>10065859811</v>
      </c>
      <c r="Q2016" s="1073"/>
      <c r="R2016" s="1073"/>
      <c r="S2016" s="1073"/>
      <c r="T2016" s="1073"/>
      <c r="U2016" s="1074"/>
      <c r="V2016" s="1082"/>
      <c r="W2016" s="614"/>
      <c r="X2016" s="614"/>
      <c r="Y2016" s="614"/>
      <c r="Z2016" s="614"/>
      <c r="AA2016" s="614"/>
      <c r="AB2016" s="614"/>
      <c r="AC2016" s="614"/>
      <c r="AD2016" s="614"/>
      <c r="AE2016" s="614"/>
    </row>
    <row r="2017" spans="1:31" s="20" customFormat="1" ht="22.5" customHeight="1">
      <c r="A2017" s="14"/>
      <c r="D2017" s="1050"/>
      <c r="E2017" s="1050"/>
      <c r="F2017" s="1050"/>
      <c r="G2017" s="1050"/>
      <c r="H2017" s="1050"/>
      <c r="I2017" s="1050"/>
      <c r="J2017" s="1050"/>
      <c r="K2017" s="1050"/>
      <c r="L2017" s="1050"/>
      <c r="M2017" s="1050"/>
      <c r="N2017" s="1050"/>
      <c r="O2017" s="1050"/>
      <c r="P2017" s="1088"/>
      <c r="Q2017" s="1050"/>
      <c r="R2017" s="1050"/>
      <c r="S2017" s="1050"/>
      <c r="T2017" s="1050"/>
      <c r="U2017" s="1050"/>
      <c r="V2017" s="1082"/>
      <c r="W2017" s="614"/>
      <c r="X2017" s="614"/>
      <c r="Y2017" s="614"/>
      <c r="Z2017" s="614"/>
      <c r="AA2017" s="614"/>
      <c r="AB2017" s="614"/>
      <c r="AC2017" s="614"/>
      <c r="AD2017" s="614"/>
      <c r="AE2017" s="614"/>
    </row>
    <row r="2018" spans="1:31" s="20" customFormat="1" ht="14.25" customHeight="1">
      <c r="A2018" s="14"/>
      <c r="C2018" s="1089" t="s">
        <v>7</v>
      </c>
      <c r="D2018" s="1062" t="s">
        <v>669</v>
      </c>
      <c r="E2018" s="1062"/>
      <c r="F2018" s="1062"/>
      <c r="G2018" s="1062"/>
      <c r="H2018" s="1062"/>
      <c r="I2018" s="1062"/>
      <c r="J2018" s="1062"/>
      <c r="K2018" s="1062"/>
      <c r="L2018" s="1062"/>
      <c r="M2018" s="1062"/>
      <c r="N2018" s="1062"/>
      <c r="O2018" s="1062"/>
      <c r="P2018" s="1062"/>
      <c r="Q2018" s="1062"/>
      <c r="R2018" s="1062"/>
      <c r="S2018" s="1062"/>
      <c r="T2018" s="1062"/>
      <c r="U2018" s="1062"/>
      <c r="V2018" s="1082"/>
      <c r="W2018" s="614"/>
      <c r="X2018" s="614"/>
      <c r="Y2018" s="614"/>
      <c r="Z2018" s="614"/>
      <c r="AA2018" s="614"/>
      <c r="AB2018" s="614"/>
      <c r="AC2018" s="614"/>
      <c r="AD2018" s="614"/>
      <c r="AE2018" s="614"/>
    </row>
    <row r="2019" spans="1:31" s="20" customFormat="1" ht="73.5" customHeight="1">
      <c r="A2019" s="14"/>
      <c r="D2019" s="1090" t="str">
        <f>"Jumlah Beban Persediaan Tahun Anggaran "&amp;'[1]2.ISIAN DATA SKPD'!D11&amp;" dan tahun "&amp;'[1]2.ISIAN DATA SKPD'!D12&amp;" adalah masing-masing sebesar Rp. "&amp;FIXED(J1933)&amp;",- dan  Rp. "&amp;FIXED(P1933)&amp;". Naik/turun sebesar Rp. "&amp;FIXED(AC1933)&amp;" atau "&amp;FIXED(Y1933)&amp;"% dari tahun "&amp;'[1]2.ISIAN DATA SKPD'!D12</f>
        <v>Jumlah Beban Persediaan Tahun Anggaran 2017 dan tahun 2016 adalah masing-masing sebesar Rp. 3,852,133,175.00,- dan  Rp. 6,682,528,354.00. Naik/turun sebesar Rp. -2,830,395,179.00 atau -42.36% dari tahun 2016</v>
      </c>
      <c r="E2019" s="1090"/>
      <c r="F2019" s="1090"/>
      <c r="G2019" s="1090"/>
      <c r="H2019" s="1090"/>
      <c r="I2019" s="1090"/>
      <c r="J2019" s="1090"/>
      <c r="K2019" s="1090"/>
      <c r="L2019" s="1090"/>
      <c r="M2019" s="1090"/>
      <c r="N2019" s="1090"/>
      <c r="O2019" s="1090"/>
      <c r="P2019" s="1090"/>
      <c r="Q2019" s="1090"/>
      <c r="R2019" s="1090"/>
      <c r="S2019" s="1090"/>
      <c r="T2019" s="1090"/>
      <c r="U2019" s="1090"/>
      <c r="V2019" s="1082"/>
      <c r="W2019" s="614"/>
      <c r="X2019" s="614"/>
      <c r="Y2019" s="614"/>
      <c r="Z2019" s="614"/>
      <c r="AA2019" s="614"/>
      <c r="AB2019" s="614"/>
      <c r="AC2019" s="614"/>
      <c r="AD2019" s="614"/>
      <c r="AE2019" s="614"/>
    </row>
    <row r="2020" spans="1:31" s="20" customFormat="1" ht="84.75" customHeight="1">
      <c r="A2020" s="14"/>
      <c r="D2020" s="313" t="str">
        <f>"Beban Persediaan merupakan beban untuk mencatat konsumsi atas barang-barang  yang habis pakai, termasuk barang-barang hasil produksi baik yang dipasarkan maupun tidak dipasarkan atau diserahkan kepada masyarakat. Rincian Beban Persediaan untuk Tahun "&amp;'[1]2.ISIAN DATA SKPD'!D11&amp;" adalah sebagai berikut: "</f>
        <v xml:space="preserve">Beban Persediaan merupakan beban untuk mencatat konsumsi atas barang-barang  yang habis pakai, termasuk barang-barang hasil produksi baik yang dipasarkan maupun tidak dipasarkan atau diserahkan kepada masyarakat. Rincian Beban Persediaan untuk Tahun 2017 adalah sebagai berikut: </v>
      </c>
      <c r="E2020" s="313"/>
      <c r="F2020" s="313"/>
      <c r="G2020" s="313"/>
      <c r="H2020" s="313"/>
      <c r="I2020" s="313"/>
      <c r="J2020" s="313"/>
      <c r="K2020" s="313"/>
      <c r="L2020" s="313"/>
      <c r="M2020" s="313"/>
      <c r="N2020" s="313"/>
      <c r="O2020" s="313"/>
      <c r="P2020" s="313"/>
      <c r="Q2020" s="313"/>
      <c r="R2020" s="313"/>
      <c r="S2020" s="313"/>
      <c r="T2020" s="313"/>
      <c r="U2020" s="313"/>
      <c r="V2020" s="1082"/>
      <c r="W2020" s="614"/>
      <c r="X2020" s="614"/>
      <c r="Y2020" s="614"/>
      <c r="Z2020" s="614"/>
      <c r="AA2020" s="614"/>
      <c r="AB2020" s="614"/>
      <c r="AC2020" s="614"/>
      <c r="AD2020" s="614"/>
      <c r="AE2020" s="614"/>
    </row>
    <row r="2021" spans="1:31" s="20" customFormat="1" ht="14.25" customHeight="1">
      <c r="A2021" s="14"/>
      <c r="D2021" s="285"/>
      <c r="E2021" s="285"/>
      <c r="F2021" s="285"/>
      <c r="G2021" s="285"/>
      <c r="H2021" s="285"/>
      <c r="I2021" s="285"/>
      <c r="J2021" s="285"/>
      <c r="K2021" s="285"/>
      <c r="L2021" s="285"/>
      <c r="M2021" s="285"/>
      <c r="N2021" s="285"/>
      <c r="O2021" s="285"/>
      <c r="P2021" s="285"/>
      <c r="Q2021" s="285"/>
      <c r="R2021" s="285"/>
      <c r="S2021" s="285"/>
      <c r="T2021" s="285"/>
      <c r="U2021" s="285"/>
      <c r="V2021" s="1082"/>
      <c r="W2021" s="614"/>
      <c r="X2021" s="614"/>
      <c r="Y2021" s="614"/>
      <c r="Z2021" s="614"/>
      <c r="AA2021" s="614"/>
      <c r="AB2021" s="614"/>
      <c r="AC2021" s="614"/>
      <c r="AD2021" s="614"/>
      <c r="AE2021" s="614"/>
    </row>
    <row r="2022" spans="1:31" s="20" customFormat="1" ht="14.25" customHeight="1">
      <c r="A2022" s="18"/>
      <c r="C2022" s="1070"/>
      <c r="D2022" s="407" t="str">
        <f>"Rincian Beban Persediaan Tahun "&amp;'[1]2.ISIAN DATA SKPD'!D11&amp;""</f>
        <v>Rincian Beban Persediaan Tahun 2017</v>
      </c>
      <c r="E2022" s="407"/>
      <c r="F2022" s="407"/>
      <c r="G2022" s="407"/>
      <c r="H2022" s="407"/>
      <c r="I2022" s="407"/>
      <c r="J2022" s="407"/>
      <c r="K2022" s="407"/>
      <c r="L2022" s="407"/>
      <c r="M2022" s="407"/>
      <c r="N2022" s="407"/>
      <c r="O2022" s="407"/>
      <c r="P2022" s="407"/>
      <c r="Q2022" s="407"/>
      <c r="R2022" s="407"/>
      <c r="S2022" s="407"/>
      <c r="T2022" s="407"/>
      <c r="U2022" s="407"/>
      <c r="V2022" s="1082"/>
      <c r="W2022" s="614"/>
      <c r="X2022" s="614"/>
      <c r="Y2022" s="614"/>
      <c r="Z2022" s="614"/>
      <c r="AA2022" s="614"/>
      <c r="AB2022" s="614"/>
      <c r="AC2022" s="614"/>
      <c r="AD2022" s="614"/>
      <c r="AE2022" s="614"/>
    </row>
    <row r="2023" spans="1:31" s="20" customFormat="1" ht="14.25" customHeight="1">
      <c r="A2023" s="18"/>
      <c r="B2023" s="1091"/>
      <c r="C2023" s="1091"/>
      <c r="D2023" s="303" t="s">
        <v>747</v>
      </c>
      <c r="E2023" s="304"/>
      <c r="F2023" s="304"/>
      <c r="G2023" s="304"/>
      <c r="H2023" s="304"/>
      <c r="I2023" s="304"/>
      <c r="J2023" s="304"/>
      <c r="K2023" s="304"/>
      <c r="L2023" s="304"/>
      <c r="M2023" s="304"/>
      <c r="N2023" s="304"/>
      <c r="O2023" s="305"/>
      <c r="P2023" s="132" t="s">
        <v>143</v>
      </c>
      <c r="Q2023" s="132"/>
      <c r="R2023" s="132"/>
      <c r="S2023" s="132"/>
      <c r="T2023" s="132"/>
      <c r="U2023" s="132"/>
      <c r="V2023" s="1082"/>
      <c r="W2023" s="614"/>
      <c r="X2023" s="614"/>
      <c r="Y2023" s="614"/>
      <c r="Z2023" s="614"/>
      <c r="AA2023" s="614"/>
      <c r="AB2023" s="614"/>
      <c r="AC2023" s="614"/>
      <c r="AD2023" s="614"/>
      <c r="AE2023" s="614"/>
    </row>
    <row r="2024" spans="1:31" s="20" customFormat="1" ht="14.25" customHeight="1">
      <c r="A2024" s="18"/>
      <c r="B2024" s="567"/>
      <c r="C2024" s="567"/>
      <c r="D2024" s="1092" t="s">
        <v>748</v>
      </c>
      <c r="E2024" s="1052"/>
      <c r="F2024" s="990"/>
      <c r="G2024" s="990"/>
      <c r="H2024" s="990"/>
      <c r="I2024" s="990"/>
      <c r="J2024" s="990"/>
      <c r="K2024" s="990"/>
      <c r="L2024" s="990"/>
      <c r="M2024" s="990"/>
      <c r="N2024" s="990"/>
      <c r="O2024" s="1093"/>
      <c r="P2024" s="1072">
        <f>SUM(P2025:U2034)</f>
        <v>144242688</v>
      </c>
      <c r="Q2024" s="1073"/>
      <c r="R2024" s="1073"/>
      <c r="S2024" s="1073"/>
      <c r="T2024" s="1073"/>
      <c r="U2024" s="1074"/>
      <c r="V2024" s="1082"/>
      <c r="W2024" s="614"/>
      <c r="X2024" s="614"/>
      <c r="Y2024" s="614"/>
      <c r="Z2024" s="614"/>
      <c r="AA2024" s="614"/>
      <c r="AB2024" s="614"/>
      <c r="AC2024" s="614"/>
      <c r="AD2024" s="614"/>
      <c r="AE2024" s="614"/>
    </row>
    <row r="2025" spans="1:31" s="20" customFormat="1" ht="14.25" customHeight="1">
      <c r="A2025" s="18"/>
      <c r="B2025" s="567"/>
      <c r="C2025" s="567"/>
      <c r="D2025" s="1094"/>
      <c r="E2025" s="1054" t="s">
        <v>749</v>
      </c>
      <c r="F2025" s="990"/>
      <c r="G2025" s="990"/>
      <c r="H2025" s="990"/>
      <c r="I2025" s="990"/>
      <c r="J2025" s="990"/>
      <c r="K2025" s="990"/>
      <c r="L2025" s="990"/>
      <c r="M2025" s="990"/>
      <c r="N2025" s="990"/>
      <c r="O2025" s="1093"/>
      <c r="P2025" s="1079">
        <f>'[1]5.LO'!E223</f>
        <v>58678525</v>
      </c>
      <c r="Q2025" s="1080"/>
      <c r="R2025" s="1080"/>
      <c r="S2025" s="1080"/>
      <c r="T2025" s="1080"/>
      <c r="U2025" s="1081"/>
      <c r="V2025" s="1082"/>
      <c r="W2025" s="614"/>
      <c r="X2025" s="614"/>
      <c r="Y2025" s="614"/>
      <c r="Z2025" s="614"/>
      <c r="AA2025" s="614"/>
      <c r="AB2025" s="614"/>
      <c r="AC2025" s="614"/>
      <c r="AD2025" s="614"/>
      <c r="AE2025" s="614"/>
    </row>
    <row r="2026" spans="1:31" s="20" customFormat="1" ht="24.75" customHeight="1">
      <c r="A2026" s="18"/>
      <c r="B2026" s="567"/>
      <c r="C2026" s="567"/>
      <c r="D2026" s="1094"/>
      <c r="E2026" s="1095" t="s">
        <v>750</v>
      </c>
      <c r="F2026" s="1095"/>
      <c r="G2026" s="1095"/>
      <c r="H2026" s="1095"/>
      <c r="I2026" s="1095"/>
      <c r="J2026" s="1095"/>
      <c r="K2026" s="1095"/>
      <c r="L2026" s="1095"/>
      <c r="M2026" s="1095"/>
      <c r="N2026" s="1095"/>
      <c r="O2026" s="1096"/>
      <c r="P2026" s="1079">
        <f>'[1]5.LO'!E224</f>
        <v>17477225</v>
      </c>
      <c r="Q2026" s="1080"/>
      <c r="R2026" s="1080"/>
      <c r="S2026" s="1080"/>
      <c r="T2026" s="1080"/>
      <c r="U2026" s="1081"/>
      <c r="V2026" s="1082"/>
      <c r="W2026" s="614"/>
      <c r="X2026" s="614"/>
      <c r="Y2026" s="614"/>
      <c r="Z2026" s="614"/>
      <c r="AA2026" s="614"/>
      <c r="AB2026" s="614"/>
      <c r="AC2026" s="614"/>
      <c r="AD2026" s="614"/>
      <c r="AE2026" s="614"/>
    </row>
    <row r="2027" spans="1:31" s="20" customFormat="1" ht="27" customHeight="1">
      <c r="A2027" s="18"/>
      <c r="B2027" s="567"/>
      <c r="C2027" s="567"/>
      <c r="D2027" s="1094"/>
      <c r="E2027" s="1095" t="s">
        <v>751</v>
      </c>
      <c r="F2027" s="1095"/>
      <c r="G2027" s="1095"/>
      <c r="H2027" s="1095"/>
      <c r="I2027" s="1095"/>
      <c r="J2027" s="1095"/>
      <c r="K2027" s="1095"/>
      <c r="L2027" s="1095"/>
      <c r="M2027" s="1095"/>
      <c r="N2027" s="1095"/>
      <c r="O2027" s="1096"/>
      <c r="P2027" s="1079">
        <f>'[1]5.LO'!E225</f>
        <v>5202000</v>
      </c>
      <c r="Q2027" s="1080"/>
      <c r="R2027" s="1080"/>
      <c r="S2027" s="1080"/>
      <c r="T2027" s="1080"/>
      <c r="U2027" s="1081"/>
      <c r="V2027" s="1082"/>
      <c r="W2027" s="614"/>
      <c r="X2027" s="614"/>
      <c r="Y2027" s="614"/>
      <c r="Z2027" s="614"/>
      <c r="AA2027" s="614"/>
      <c r="AB2027" s="614"/>
      <c r="AC2027" s="614"/>
      <c r="AD2027" s="614"/>
      <c r="AE2027" s="614"/>
    </row>
    <row r="2028" spans="1:31" s="20" customFormat="1" ht="25.5" customHeight="1">
      <c r="A2028" s="18"/>
      <c r="B2028" s="567"/>
      <c r="C2028" s="567"/>
      <c r="D2028" s="1094"/>
      <c r="E2028" s="1095" t="s">
        <v>752</v>
      </c>
      <c r="F2028" s="1095"/>
      <c r="G2028" s="1095"/>
      <c r="H2028" s="1095"/>
      <c r="I2028" s="1095"/>
      <c r="J2028" s="1095"/>
      <c r="K2028" s="1095"/>
      <c r="L2028" s="1095"/>
      <c r="M2028" s="1095"/>
      <c r="N2028" s="1095"/>
      <c r="O2028" s="1096"/>
      <c r="P2028" s="1079">
        <f>'[1]5.LO'!E226</f>
        <v>21982661</v>
      </c>
      <c r="Q2028" s="1080"/>
      <c r="R2028" s="1080"/>
      <c r="S2028" s="1080"/>
      <c r="T2028" s="1080"/>
      <c r="U2028" s="1081"/>
      <c r="V2028" s="1082"/>
      <c r="W2028" s="614"/>
      <c r="X2028" s="614"/>
      <c r="Y2028" s="614"/>
      <c r="Z2028" s="614"/>
      <c r="AA2028" s="614"/>
      <c r="AB2028" s="614"/>
      <c r="AC2028" s="614"/>
      <c r="AD2028" s="614"/>
      <c r="AE2028" s="614"/>
    </row>
    <row r="2029" spans="1:31" s="20" customFormat="1" ht="14.25" customHeight="1">
      <c r="A2029" s="18"/>
      <c r="B2029" s="567"/>
      <c r="C2029" s="567"/>
      <c r="D2029" s="1094"/>
      <c r="E2029" s="1054" t="s">
        <v>753</v>
      </c>
      <c r="F2029" s="990"/>
      <c r="G2029" s="990"/>
      <c r="H2029" s="990"/>
      <c r="I2029" s="990"/>
      <c r="J2029" s="990"/>
      <c r="K2029" s="990"/>
      <c r="L2029" s="990"/>
      <c r="M2029" s="990"/>
      <c r="N2029" s="990"/>
      <c r="O2029" s="1093"/>
      <c r="P2029" s="1079">
        <f>'[1]5.LO'!E227</f>
        <v>35500277</v>
      </c>
      <c r="Q2029" s="1080"/>
      <c r="R2029" s="1080"/>
      <c r="S2029" s="1080"/>
      <c r="T2029" s="1080"/>
      <c r="U2029" s="1081"/>
      <c r="V2029" s="1082"/>
      <c r="W2029" s="614"/>
      <c r="X2029" s="614"/>
      <c r="Y2029" s="614"/>
      <c r="Z2029" s="614"/>
      <c r="AA2029" s="614"/>
      <c r="AB2029" s="614"/>
      <c r="AC2029" s="614"/>
      <c r="AD2029" s="614"/>
      <c r="AE2029" s="614"/>
    </row>
    <row r="2030" spans="1:31" s="20" customFormat="1" ht="14.25" customHeight="1">
      <c r="A2030" s="18"/>
      <c r="B2030" s="567"/>
      <c r="C2030" s="567"/>
      <c r="D2030" s="1094"/>
      <c r="E2030" s="1054" t="s">
        <v>754</v>
      </c>
      <c r="F2030" s="990"/>
      <c r="G2030" s="990"/>
      <c r="H2030" s="990"/>
      <c r="I2030" s="990"/>
      <c r="J2030" s="990"/>
      <c r="K2030" s="990"/>
      <c r="L2030" s="990"/>
      <c r="M2030" s="990"/>
      <c r="N2030" s="990"/>
      <c r="O2030" s="1093"/>
      <c r="P2030" s="1079">
        <f>'[1]5.LO'!E228</f>
        <v>0</v>
      </c>
      <c r="Q2030" s="1080"/>
      <c r="R2030" s="1080"/>
      <c r="S2030" s="1080"/>
      <c r="T2030" s="1080"/>
      <c r="U2030" s="1081"/>
      <c r="V2030" s="1082"/>
      <c r="W2030" s="614"/>
      <c r="X2030" s="614"/>
      <c r="Y2030" s="614"/>
      <c r="Z2030" s="614"/>
      <c r="AA2030" s="614"/>
      <c r="AB2030" s="614"/>
      <c r="AC2030" s="614"/>
      <c r="AD2030" s="614"/>
      <c r="AE2030" s="614"/>
    </row>
    <row r="2031" spans="1:31" s="20" customFormat="1" ht="14.25" customHeight="1">
      <c r="A2031" s="18"/>
      <c r="B2031" s="567"/>
      <c r="C2031" s="567"/>
      <c r="D2031" s="1094"/>
      <c r="E2031" s="1054" t="s">
        <v>755</v>
      </c>
      <c r="F2031" s="990"/>
      <c r="G2031" s="990"/>
      <c r="H2031" s="990"/>
      <c r="I2031" s="990"/>
      <c r="J2031" s="990"/>
      <c r="K2031" s="990"/>
      <c r="L2031" s="990"/>
      <c r="M2031" s="990"/>
      <c r="N2031" s="990"/>
      <c r="O2031" s="1093"/>
      <c r="P2031" s="1079">
        <f>'[1]5.LO'!E229</f>
        <v>0</v>
      </c>
      <c r="Q2031" s="1080"/>
      <c r="R2031" s="1080"/>
      <c r="S2031" s="1080"/>
      <c r="T2031" s="1080"/>
      <c r="U2031" s="1081"/>
      <c r="V2031" s="1082"/>
      <c r="W2031" s="614"/>
      <c r="X2031" s="614"/>
      <c r="Y2031" s="614"/>
      <c r="Z2031" s="614"/>
      <c r="AA2031" s="614"/>
      <c r="AB2031" s="614"/>
      <c r="AC2031" s="614"/>
      <c r="AD2031" s="614"/>
      <c r="AE2031" s="614"/>
    </row>
    <row r="2032" spans="1:31" s="20" customFormat="1" ht="14.25" customHeight="1">
      <c r="A2032" s="18"/>
      <c r="B2032" s="567"/>
      <c r="C2032" s="567"/>
      <c r="D2032" s="1094"/>
      <c r="E2032" s="1054" t="s">
        <v>756</v>
      </c>
      <c r="F2032" s="990"/>
      <c r="G2032" s="990"/>
      <c r="H2032" s="990"/>
      <c r="I2032" s="990"/>
      <c r="J2032" s="990"/>
      <c r="K2032" s="990"/>
      <c r="L2032" s="990"/>
      <c r="M2032" s="990"/>
      <c r="N2032" s="990"/>
      <c r="O2032" s="1093"/>
      <c r="P2032" s="1079">
        <f>'[1]5.LO'!E230</f>
        <v>0</v>
      </c>
      <c r="Q2032" s="1080"/>
      <c r="R2032" s="1080"/>
      <c r="S2032" s="1080"/>
      <c r="T2032" s="1080"/>
      <c r="U2032" s="1081"/>
      <c r="V2032" s="1082"/>
      <c r="W2032" s="614"/>
      <c r="X2032" s="614"/>
      <c r="Y2032" s="614"/>
      <c r="Z2032" s="614"/>
      <c r="AA2032" s="614"/>
      <c r="AB2032" s="614"/>
      <c r="AC2032" s="614"/>
      <c r="AD2032" s="614"/>
      <c r="AE2032" s="614"/>
    </row>
    <row r="2033" spans="1:31" s="20" customFormat="1" ht="14.25" customHeight="1">
      <c r="A2033" s="18"/>
      <c r="B2033" s="567"/>
      <c r="C2033" s="567"/>
      <c r="D2033" s="1094"/>
      <c r="E2033" s="1054" t="s">
        <v>757</v>
      </c>
      <c r="F2033" s="990"/>
      <c r="G2033" s="990"/>
      <c r="H2033" s="990"/>
      <c r="I2033" s="990"/>
      <c r="J2033" s="990"/>
      <c r="K2033" s="990"/>
      <c r="L2033" s="990"/>
      <c r="M2033" s="990"/>
      <c r="N2033" s="990"/>
      <c r="O2033" s="1093"/>
      <c r="P2033" s="1079">
        <f>'[1]5.LO'!E231</f>
        <v>0</v>
      </c>
      <c r="Q2033" s="1080"/>
      <c r="R2033" s="1080"/>
      <c r="S2033" s="1080"/>
      <c r="T2033" s="1080"/>
      <c r="U2033" s="1081"/>
      <c r="V2033" s="1082"/>
      <c r="W2033" s="614"/>
      <c r="X2033" s="614"/>
      <c r="Y2033" s="614"/>
      <c r="Z2033" s="614"/>
      <c r="AA2033" s="614"/>
      <c r="AB2033" s="614"/>
      <c r="AC2033" s="614"/>
      <c r="AD2033" s="614"/>
      <c r="AE2033" s="614"/>
    </row>
    <row r="2034" spans="1:31" s="20" customFormat="1" ht="14.25" customHeight="1">
      <c r="A2034" s="18"/>
      <c r="B2034" s="567"/>
      <c r="C2034" s="567"/>
      <c r="D2034" s="1094"/>
      <c r="E2034" s="1054" t="s">
        <v>758</v>
      </c>
      <c r="F2034" s="990"/>
      <c r="G2034" s="990"/>
      <c r="H2034" s="990"/>
      <c r="I2034" s="990"/>
      <c r="J2034" s="990"/>
      <c r="K2034" s="990"/>
      <c r="L2034" s="990"/>
      <c r="M2034" s="990"/>
      <c r="N2034" s="990"/>
      <c r="O2034" s="1093"/>
      <c r="P2034" s="1079">
        <f>'[1]5.LO'!E232</f>
        <v>5402000</v>
      </c>
      <c r="Q2034" s="1080"/>
      <c r="R2034" s="1080"/>
      <c r="S2034" s="1080"/>
      <c r="T2034" s="1080"/>
      <c r="U2034" s="1081"/>
      <c r="V2034" s="1082"/>
      <c r="W2034" s="614"/>
      <c r="X2034" s="614"/>
      <c r="Y2034" s="614"/>
      <c r="Z2034" s="614"/>
      <c r="AA2034" s="614"/>
      <c r="AB2034" s="614"/>
      <c r="AC2034" s="614"/>
      <c r="AD2034" s="614"/>
      <c r="AE2034" s="614"/>
    </row>
    <row r="2035" spans="1:31" s="20" customFormat="1" ht="14.25" customHeight="1">
      <c r="A2035" s="18"/>
      <c r="B2035" s="567"/>
      <c r="C2035" s="567"/>
      <c r="D2035" s="1092" t="s">
        <v>759</v>
      </c>
      <c r="E2035" s="1052"/>
      <c r="F2035" s="990"/>
      <c r="G2035" s="990"/>
      <c r="H2035" s="990"/>
      <c r="I2035" s="990"/>
      <c r="J2035" s="990"/>
      <c r="K2035" s="990"/>
      <c r="L2035" s="990"/>
      <c r="M2035" s="990"/>
      <c r="N2035" s="990"/>
      <c r="O2035" s="1093"/>
      <c r="P2035" s="1072">
        <f>SUM(P2036:U2038)</f>
        <v>41571350</v>
      </c>
      <c r="Q2035" s="1073"/>
      <c r="R2035" s="1073"/>
      <c r="S2035" s="1073"/>
      <c r="T2035" s="1073"/>
      <c r="U2035" s="1074"/>
      <c r="V2035" s="1082"/>
      <c r="W2035" s="614"/>
      <c r="X2035" s="614"/>
      <c r="Y2035" s="614"/>
      <c r="Z2035" s="614"/>
      <c r="AA2035" s="614"/>
      <c r="AB2035" s="614"/>
      <c r="AC2035" s="614"/>
      <c r="AD2035" s="614"/>
      <c r="AE2035" s="614"/>
    </row>
    <row r="2036" spans="1:31" s="20" customFormat="1" ht="14.25" customHeight="1">
      <c r="A2036" s="18"/>
      <c r="B2036" s="567"/>
      <c r="C2036" s="567"/>
      <c r="D2036" s="1094"/>
      <c r="E2036" s="1054" t="s">
        <v>760</v>
      </c>
      <c r="F2036" s="990"/>
      <c r="G2036" s="990"/>
      <c r="H2036" s="990"/>
      <c r="I2036" s="990"/>
      <c r="J2036" s="990"/>
      <c r="K2036" s="990"/>
      <c r="L2036" s="990"/>
      <c r="M2036" s="990"/>
      <c r="N2036" s="990"/>
      <c r="O2036" s="1093"/>
      <c r="P2036" s="1079">
        <f>'[1]5.LO'!E234</f>
        <v>41571350</v>
      </c>
      <c r="Q2036" s="1080"/>
      <c r="R2036" s="1080"/>
      <c r="S2036" s="1080"/>
      <c r="T2036" s="1080"/>
      <c r="U2036" s="1081"/>
      <c r="V2036" s="1082"/>
      <c r="W2036" s="614"/>
      <c r="X2036" s="614"/>
      <c r="Y2036" s="614"/>
      <c r="Z2036" s="614"/>
      <c r="AA2036" s="614"/>
      <c r="AB2036" s="614"/>
      <c r="AC2036" s="614"/>
      <c r="AD2036" s="614"/>
      <c r="AE2036" s="614"/>
    </row>
    <row r="2037" spans="1:31" s="20" customFormat="1" ht="14.25" customHeight="1">
      <c r="A2037" s="18"/>
      <c r="B2037" s="567"/>
      <c r="C2037" s="567"/>
      <c r="D2037" s="1094"/>
      <c r="E2037" s="1097" t="s">
        <v>761</v>
      </c>
      <c r="F2037" s="990"/>
      <c r="G2037" s="990"/>
      <c r="H2037" s="990"/>
      <c r="I2037" s="990"/>
      <c r="J2037" s="990"/>
      <c r="K2037" s="990"/>
      <c r="L2037" s="990"/>
      <c r="M2037" s="990"/>
      <c r="N2037" s="990"/>
      <c r="O2037" s="1093"/>
      <c r="P2037" s="1098"/>
      <c r="Q2037" s="1099"/>
      <c r="R2037" s="1099"/>
      <c r="S2037" s="1099"/>
      <c r="T2037" s="1099"/>
      <c r="U2037" s="1100"/>
      <c r="V2037" s="1082"/>
      <c r="W2037" s="614"/>
      <c r="X2037" s="614"/>
      <c r="Y2037" s="614"/>
      <c r="Z2037" s="614"/>
      <c r="AA2037" s="614"/>
      <c r="AB2037" s="614"/>
      <c r="AC2037" s="614"/>
      <c r="AD2037" s="614"/>
      <c r="AE2037" s="614"/>
    </row>
    <row r="2038" spans="1:31" s="20" customFormat="1" ht="14.25" customHeight="1">
      <c r="A2038" s="18"/>
      <c r="B2038" s="567"/>
      <c r="C2038" s="567"/>
      <c r="D2038" s="1094"/>
      <c r="E2038" s="1097" t="s">
        <v>762</v>
      </c>
      <c r="F2038" s="990"/>
      <c r="G2038" s="990"/>
      <c r="H2038" s="990"/>
      <c r="I2038" s="990"/>
      <c r="J2038" s="990"/>
      <c r="K2038" s="990"/>
      <c r="L2038" s="990"/>
      <c r="M2038" s="990"/>
      <c r="N2038" s="990"/>
      <c r="O2038" s="1093"/>
      <c r="P2038" s="1098"/>
      <c r="Q2038" s="1099"/>
      <c r="R2038" s="1099"/>
      <c r="S2038" s="1099"/>
      <c r="T2038" s="1099"/>
      <c r="U2038" s="1100"/>
      <c r="V2038" s="1082"/>
      <c r="W2038" s="614"/>
      <c r="X2038" s="614"/>
      <c r="Y2038" s="614"/>
      <c r="Z2038" s="614"/>
      <c r="AA2038" s="614"/>
      <c r="AB2038" s="614"/>
      <c r="AC2038" s="614"/>
      <c r="AD2038" s="614"/>
      <c r="AE2038" s="614"/>
    </row>
    <row r="2039" spans="1:31" s="20" customFormat="1" ht="14.25" customHeight="1">
      <c r="A2039" s="18"/>
      <c r="B2039" s="567"/>
      <c r="C2039" s="567"/>
      <c r="D2039" s="1092" t="s">
        <v>763</v>
      </c>
      <c r="E2039" s="1052"/>
      <c r="F2039" s="990"/>
      <c r="G2039" s="990"/>
      <c r="H2039" s="990"/>
      <c r="I2039" s="990"/>
      <c r="J2039" s="990"/>
      <c r="K2039" s="990"/>
      <c r="L2039" s="990"/>
      <c r="M2039" s="990"/>
      <c r="N2039" s="990"/>
      <c r="O2039" s="1093"/>
      <c r="P2039" s="1072">
        <f>SUM(P2040:U2055)</f>
        <v>3607680927</v>
      </c>
      <c r="Q2039" s="1073"/>
      <c r="R2039" s="1073"/>
      <c r="S2039" s="1073"/>
      <c r="T2039" s="1073"/>
      <c r="U2039" s="1074"/>
      <c r="V2039" s="1082"/>
      <c r="W2039" s="614"/>
      <c r="X2039" s="614"/>
      <c r="Y2039" s="614"/>
      <c r="Z2039" s="614"/>
      <c r="AA2039" s="614"/>
      <c r="AB2039" s="614"/>
      <c r="AC2039" s="614"/>
      <c r="AD2039" s="614"/>
      <c r="AE2039" s="614"/>
    </row>
    <row r="2040" spans="1:31" s="20" customFormat="1" ht="14.25" customHeight="1">
      <c r="A2040" s="18"/>
      <c r="B2040" s="567"/>
      <c r="C2040" s="567"/>
      <c r="D2040" s="1094"/>
      <c r="E2040" s="1054" t="s">
        <v>764</v>
      </c>
      <c r="F2040" s="990"/>
      <c r="G2040" s="990"/>
      <c r="H2040" s="990"/>
      <c r="I2040" s="990"/>
      <c r="J2040" s="990"/>
      <c r="K2040" s="990"/>
      <c r="L2040" s="990"/>
      <c r="M2040" s="990"/>
      <c r="N2040" s="990"/>
      <c r="O2040" s="1093"/>
      <c r="P2040" s="1079">
        <f>'[1]5.LO'!E238</f>
        <v>3304214688</v>
      </c>
      <c r="Q2040" s="1080"/>
      <c r="R2040" s="1080"/>
      <c r="S2040" s="1080"/>
      <c r="T2040" s="1080"/>
      <c r="U2040" s="1081"/>
      <c r="V2040" s="1082"/>
      <c r="W2040" s="614"/>
      <c r="X2040" s="614"/>
      <c r="Y2040" s="614"/>
      <c r="Z2040" s="614"/>
      <c r="AA2040" s="614"/>
      <c r="AB2040" s="614"/>
      <c r="AC2040" s="614"/>
      <c r="AD2040" s="614"/>
      <c r="AE2040" s="614"/>
    </row>
    <row r="2041" spans="1:31" s="20" customFormat="1" ht="14.25" customHeight="1">
      <c r="A2041" s="18"/>
      <c r="B2041" s="567"/>
      <c r="C2041" s="567"/>
      <c r="D2041" s="1094"/>
      <c r="E2041" s="1054" t="s">
        <v>765</v>
      </c>
      <c r="F2041" s="990"/>
      <c r="G2041" s="990"/>
      <c r="H2041" s="990"/>
      <c r="I2041" s="990"/>
      <c r="J2041" s="990"/>
      <c r="K2041" s="990"/>
      <c r="L2041" s="990"/>
      <c r="M2041" s="990"/>
      <c r="N2041" s="990"/>
      <c r="O2041" s="1093"/>
      <c r="P2041" s="1079">
        <f>'[1]5.LO'!E239</f>
        <v>283224239</v>
      </c>
      <c r="Q2041" s="1080"/>
      <c r="R2041" s="1080"/>
      <c r="S2041" s="1080"/>
      <c r="T2041" s="1080"/>
      <c r="U2041" s="1081"/>
      <c r="V2041" s="1082"/>
      <c r="W2041" s="614"/>
      <c r="X2041" s="614"/>
      <c r="Y2041" s="614"/>
      <c r="Z2041" s="614"/>
      <c r="AA2041" s="614"/>
      <c r="AB2041" s="614"/>
      <c r="AC2041" s="614"/>
      <c r="AD2041" s="614"/>
      <c r="AE2041" s="614"/>
    </row>
    <row r="2042" spans="1:31" s="20" customFormat="1" ht="14.25" customHeight="1">
      <c r="A2042" s="18"/>
      <c r="B2042" s="567"/>
      <c r="C2042" s="567"/>
      <c r="D2042" s="1094"/>
      <c r="E2042" s="1054" t="s">
        <v>766</v>
      </c>
      <c r="F2042" s="990"/>
      <c r="G2042" s="990"/>
      <c r="H2042" s="990"/>
      <c r="I2042" s="990"/>
      <c r="J2042" s="990"/>
      <c r="K2042" s="990"/>
      <c r="L2042" s="990"/>
      <c r="M2042" s="990"/>
      <c r="N2042" s="990"/>
      <c r="O2042" s="1093"/>
      <c r="P2042" s="1079">
        <f>'[1]5.LO'!E240</f>
        <v>0</v>
      </c>
      <c r="Q2042" s="1080"/>
      <c r="R2042" s="1080"/>
      <c r="S2042" s="1080"/>
      <c r="T2042" s="1080"/>
      <c r="U2042" s="1081"/>
      <c r="V2042" s="1082"/>
      <c r="W2042" s="614"/>
      <c r="X2042" s="614"/>
      <c r="Y2042" s="614"/>
      <c r="Z2042" s="614"/>
      <c r="AA2042" s="614"/>
      <c r="AB2042" s="614"/>
      <c r="AC2042" s="614"/>
      <c r="AD2042" s="614"/>
      <c r="AE2042" s="614"/>
    </row>
    <row r="2043" spans="1:31" s="20" customFormat="1" ht="14.25" customHeight="1">
      <c r="A2043" s="18"/>
      <c r="B2043" s="567"/>
      <c r="C2043" s="567"/>
      <c r="D2043" s="1094"/>
      <c r="E2043" s="1054" t="s">
        <v>767</v>
      </c>
      <c r="F2043" s="990"/>
      <c r="G2043" s="990"/>
      <c r="H2043" s="990"/>
      <c r="I2043" s="990"/>
      <c r="J2043" s="990"/>
      <c r="K2043" s="990"/>
      <c r="L2043" s="990"/>
      <c r="M2043" s="990"/>
      <c r="N2043" s="990"/>
      <c r="O2043" s="1093"/>
      <c r="P2043" s="1079">
        <f>'[1]5.LO'!E241</f>
        <v>0</v>
      </c>
      <c r="Q2043" s="1080"/>
      <c r="R2043" s="1080"/>
      <c r="S2043" s="1080"/>
      <c r="T2043" s="1080"/>
      <c r="U2043" s="1081"/>
      <c r="V2043" s="1082"/>
      <c r="W2043" s="614"/>
      <c r="X2043" s="614"/>
      <c r="Y2043" s="614"/>
      <c r="Z2043" s="614"/>
      <c r="AA2043" s="614"/>
      <c r="AB2043" s="614"/>
      <c r="AC2043" s="614"/>
      <c r="AD2043" s="614"/>
      <c r="AE2043" s="614"/>
    </row>
    <row r="2044" spans="1:31" s="20" customFormat="1" ht="15" customHeight="1">
      <c r="A2044" s="18"/>
      <c r="B2044" s="567"/>
      <c r="C2044" s="567"/>
      <c r="D2044" s="1094"/>
      <c r="E2044" s="1054" t="s">
        <v>768</v>
      </c>
      <c r="F2044" s="990"/>
      <c r="G2044" s="990"/>
      <c r="H2044" s="990"/>
      <c r="I2044" s="990"/>
      <c r="J2044" s="990"/>
      <c r="K2044" s="990"/>
      <c r="L2044" s="990"/>
      <c r="M2044" s="990"/>
      <c r="N2044" s="990"/>
      <c r="O2044" s="1093"/>
      <c r="P2044" s="1079">
        <f>'[1]5.LO'!E242</f>
        <v>0</v>
      </c>
      <c r="Q2044" s="1080"/>
      <c r="R2044" s="1080"/>
      <c r="S2044" s="1080"/>
      <c r="T2044" s="1080"/>
      <c r="U2044" s="1081"/>
      <c r="V2044" s="1082"/>
      <c r="W2044" s="614"/>
      <c r="X2044" s="614"/>
      <c r="Y2044" s="614"/>
      <c r="Z2044" s="614"/>
      <c r="AA2044" s="614"/>
      <c r="AB2044" s="614"/>
      <c r="AC2044" s="614"/>
      <c r="AD2044" s="614"/>
      <c r="AE2044" s="614"/>
    </row>
    <row r="2045" spans="1:31" s="20" customFormat="1" ht="15" customHeight="1">
      <c r="A2045" s="18"/>
      <c r="B2045" s="567"/>
      <c r="C2045" s="567"/>
      <c r="D2045" s="1094"/>
      <c r="E2045" s="1054" t="s">
        <v>769</v>
      </c>
      <c r="F2045" s="990"/>
      <c r="G2045" s="990"/>
      <c r="H2045" s="990"/>
      <c r="I2045" s="990"/>
      <c r="J2045" s="990"/>
      <c r="K2045" s="990"/>
      <c r="L2045" s="990"/>
      <c r="M2045" s="990"/>
      <c r="N2045" s="990"/>
      <c r="O2045" s="1093"/>
      <c r="P2045" s="1079">
        <f>'[1]5.LO'!E243</f>
        <v>20242000</v>
      </c>
      <c r="Q2045" s="1080"/>
      <c r="R2045" s="1080"/>
      <c r="S2045" s="1080"/>
      <c r="T2045" s="1080"/>
      <c r="U2045" s="1081"/>
      <c r="V2045" s="1082"/>
      <c r="W2045" s="614"/>
      <c r="X2045" s="614"/>
      <c r="Y2045" s="614"/>
      <c r="Z2045" s="614"/>
      <c r="AA2045" s="614"/>
      <c r="AB2045" s="614"/>
      <c r="AC2045" s="614"/>
      <c r="AD2045" s="614"/>
      <c r="AE2045" s="614"/>
    </row>
    <row r="2046" spans="1:31" s="20" customFormat="1" ht="15" customHeight="1">
      <c r="A2046" s="18"/>
      <c r="B2046" s="567"/>
      <c r="C2046" s="567"/>
      <c r="D2046" s="1094"/>
      <c r="E2046" s="1054" t="s">
        <v>770</v>
      </c>
      <c r="F2046" s="990"/>
      <c r="G2046" s="990"/>
      <c r="H2046" s="990"/>
      <c r="I2046" s="990"/>
      <c r="J2046" s="990"/>
      <c r="K2046" s="990"/>
      <c r="L2046" s="990"/>
      <c r="M2046" s="990"/>
      <c r="N2046" s="990"/>
      <c r="O2046" s="1093"/>
      <c r="P2046" s="1079">
        <f>'[1]5.LO'!E244</f>
        <v>0</v>
      </c>
      <c r="Q2046" s="1080"/>
      <c r="R2046" s="1080"/>
      <c r="S2046" s="1080"/>
      <c r="T2046" s="1080"/>
      <c r="U2046" s="1081"/>
      <c r="V2046" s="1082"/>
      <c r="W2046" s="614"/>
      <c r="X2046" s="614"/>
      <c r="Y2046" s="614"/>
      <c r="Z2046" s="614"/>
      <c r="AA2046" s="614"/>
      <c r="AB2046" s="614"/>
      <c r="AC2046" s="614"/>
      <c r="AD2046" s="614"/>
      <c r="AE2046" s="614"/>
    </row>
    <row r="2047" spans="1:31" s="20" customFormat="1" ht="15" customHeight="1">
      <c r="A2047" s="18"/>
      <c r="B2047" s="567"/>
      <c r="C2047" s="567"/>
      <c r="D2047" s="1094"/>
      <c r="E2047" s="1054" t="s">
        <v>771</v>
      </c>
      <c r="F2047" s="990"/>
      <c r="G2047" s="990"/>
      <c r="H2047" s="990"/>
      <c r="I2047" s="990"/>
      <c r="J2047" s="990"/>
      <c r="K2047" s="990"/>
      <c r="L2047" s="990"/>
      <c r="M2047" s="990"/>
      <c r="N2047" s="990"/>
      <c r="O2047" s="1093"/>
      <c r="P2047" s="1079">
        <f>'[1]5.LO'!E245</f>
        <v>0</v>
      </c>
      <c r="Q2047" s="1080"/>
      <c r="R2047" s="1080"/>
      <c r="S2047" s="1080"/>
      <c r="T2047" s="1080"/>
      <c r="U2047" s="1081"/>
      <c r="V2047" s="1082"/>
      <c r="W2047" s="614"/>
      <c r="X2047" s="614"/>
      <c r="Y2047" s="614"/>
      <c r="Z2047" s="614"/>
      <c r="AA2047" s="614"/>
      <c r="AB2047" s="614"/>
      <c r="AC2047" s="614"/>
      <c r="AD2047" s="614"/>
      <c r="AE2047" s="614"/>
    </row>
    <row r="2048" spans="1:31" s="20" customFormat="1" ht="15" customHeight="1">
      <c r="A2048" s="18"/>
      <c r="B2048" s="567"/>
      <c r="C2048" s="567"/>
      <c r="D2048" s="1094"/>
      <c r="E2048" s="1054" t="s">
        <v>772</v>
      </c>
      <c r="F2048" s="990"/>
      <c r="G2048" s="990"/>
      <c r="H2048" s="990"/>
      <c r="I2048" s="990"/>
      <c r="J2048" s="990"/>
      <c r="K2048" s="990"/>
      <c r="L2048" s="990"/>
      <c r="M2048" s="990"/>
      <c r="N2048" s="990"/>
      <c r="O2048" s="1093"/>
      <c r="P2048" s="1079">
        <f>'[1]5.LO'!E246</f>
        <v>0</v>
      </c>
      <c r="Q2048" s="1080"/>
      <c r="R2048" s="1080"/>
      <c r="S2048" s="1080"/>
      <c r="T2048" s="1080"/>
      <c r="U2048" s="1081"/>
      <c r="V2048" s="1082"/>
      <c r="W2048" s="614"/>
      <c r="X2048" s="614"/>
      <c r="Y2048" s="614"/>
      <c r="Z2048" s="614"/>
      <c r="AA2048" s="614"/>
      <c r="AB2048" s="614"/>
      <c r="AC2048" s="614"/>
      <c r="AD2048" s="614"/>
      <c r="AE2048" s="614"/>
    </row>
    <row r="2049" spans="1:31" s="20" customFormat="1" ht="15" customHeight="1">
      <c r="A2049" s="18"/>
      <c r="B2049" s="567"/>
      <c r="C2049" s="567"/>
      <c r="D2049" s="1094"/>
      <c r="E2049" s="1054" t="s">
        <v>773</v>
      </c>
      <c r="F2049" s="990"/>
      <c r="G2049" s="990"/>
      <c r="H2049" s="990"/>
      <c r="I2049" s="990"/>
      <c r="J2049" s="990"/>
      <c r="K2049" s="990"/>
      <c r="L2049" s="990"/>
      <c r="M2049" s="990"/>
      <c r="N2049" s="990"/>
      <c r="O2049" s="1093"/>
      <c r="P2049" s="1079">
        <f>'[1]5.LO'!E247</f>
        <v>0</v>
      </c>
      <c r="Q2049" s="1080"/>
      <c r="R2049" s="1080"/>
      <c r="S2049" s="1080"/>
      <c r="T2049" s="1080"/>
      <c r="U2049" s="1081"/>
      <c r="V2049" s="1082"/>
      <c r="W2049" s="614"/>
      <c r="X2049" s="614"/>
      <c r="Y2049" s="614"/>
      <c r="Z2049" s="614"/>
      <c r="AA2049" s="614"/>
      <c r="AB2049" s="614"/>
      <c r="AC2049" s="614"/>
      <c r="AD2049" s="614"/>
      <c r="AE2049" s="614"/>
    </row>
    <row r="2050" spans="1:31" s="20" customFormat="1" ht="15" customHeight="1">
      <c r="A2050" s="18"/>
      <c r="B2050" s="567"/>
      <c r="C2050" s="567"/>
      <c r="D2050" s="1094"/>
      <c r="E2050" s="1054" t="s">
        <v>774</v>
      </c>
      <c r="F2050" s="990"/>
      <c r="G2050" s="990"/>
      <c r="H2050" s="990"/>
      <c r="I2050" s="990"/>
      <c r="J2050" s="990"/>
      <c r="K2050" s="990"/>
      <c r="L2050" s="990"/>
      <c r="M2050" s="990"/>
      <c r="N2050" s="990"/>
      <c r="O2050" s="1093"/>
      <c r="P2050" s="1079">
        <f>'[1]5.LO'!E248</f>
        <v>0</v>
      </c>
      <c r="Q2050" s="1080"/>
      <c r="R2050" s="1080"/>
      <c r="S2050" s="1080"/>
      <c r="T2050" s="1080"/>
      <c r="U2050" s="1081"/>
      <c r="V2050" s="1082"/>
      <c r="W2050" s="614"/>
      <c r="X2050" s="614"/>
      <c r="Y2050" s="614"/>
      <c r="Z2050" s="614"/>
      <c r="AA2050" s="614"/>
      <c r="AB2050" s="614"/>
      <c r="AC2050" s="614"/>
      <c r="AD2050" s="614"/>
      <c r="AE2050" s="614"/>
    </row>
    <row r="2051" spans="1:31" s="20" customFormat="1" ht="15" customHeight="1">
      <c r="A2051" s="18"/>
      <c r="B2051" s="567"/>
      <c r="C2051" s="567"/>
      <c r="D2051" s="1094"/>
      <c r="E2051" s="1054" t="s">
        <v>775</v>
      </c>
      <c r="F2051" s="990"/>
      <c r="G2051" s="990"/>
      <c r="H2051" s="990"/>
      <c r="I2051" s="990"/>
      <c r="J2051" s="990"/>
      <c r="K2051" s="990"/>
      <c r="L2051" s="990"/>
      <c r="M2051" s="990"/>
      <c r="N2051" s="990"/>
      <c r="O2051" s="1093"/>
      <c r="P2051" s="1079">
        <f>'[1]5.LO'!E249</f>
        <v>0</v>
      </c>
      <c r="Q2051" s="1080"/>
      <c r="R2051" s="1080"/>
      <c r="S2051" s="1080"/>
      <c r="T2051" s="1080"/>
      <c r="U2051" s="1081"/>
      <c r="V2051" s="1082"/>
      <c r="W2051" s="614"/>
      <c r="X2051" s="614"/>
      <c r="Y2051" s="614"/>
      <c r="Z2051" s="614"/>
      <c r="AA2051" s="614"/>
      <c r="AB2051" s="614"/>
      <c r="AC2051" s="614"/>
      <c r="AD2051" s="614"/>
      <c r="AE2051" s="614"/>
    </row>
    <row r="2052" spans="1:31" s="20" customFormat="1" ht="15" customHeight="1">
      <c r="A2052" s="18"/>
      <c r="B2052" s="567"/>
      <c r="C2052" s="567"/>
      <c r="D2052" s="1094"/>
      <c r="E2052" s="1054" t="s">
        <v>776</v>
      </c>
      <c r="F2052" s="990"/>
      <c r="G2052" s="990"/>
      <c r="H2052" s="990"/>
      <c r="I2052" s="990"/>
      <c r="J2052" s="990"/>
      <c r="K2052" s="990"/>
      <c r="L2052" s="990"/>
      <c r="M2052" s="990"/>
      <c r="N2052" s="990"/>
      <c r="O2052" s="1093"/>
      <c r="P2052" s="1079">
        <f>'[1]5.LO'!E250</f>
        <v>0</v>
      </c>
      <c r="Q2052" s="1080"/>
      <c r="R2052" s="1080"/>
      <c r="S2052" s="1080"/>
      <c r="T2052" s="1080"/>
      <c r="U2052" s="1081"/>
      <c r="V2052" s="1082"/>
      <c r="W2052" s="614"/>
      <c r="X2052" s="614"/>
      <c r="Y2052" s="614"/>
      <c r="Z2052" s="614"/>
      <c r="AA2052" s="614"/>
      <c r="AB2052" s="614"/>
      <c r="AC2052" s="614"/>
      <c r="AD2052" s="614"/>
      <c r="AE2052" s="614"/>
    </row>
    <row r="2053" spans="1:31" s="20" customFormat="1" ht="15" customHeight="1">
      <c r="A2053" s="18"/>
      <c r="B2053" s="567"/>
      <c r="C2053" s="567"/>
      <c r="D2053" s="1094"/>
      <c r="E2053" s="1054" t="s">
        <v>777</v>
      </c>
      <c r="F2053" s="990"/>
      <c r="G2053" s="990"/>
      <c r="H2053" s="990"/>
      <c r="I2053" s="990"/>
      <c r="J2053" s="990"/>
      <c r="K2053" s="990"/>
      <c r="L2053" s="990"/>
      <c r="M2053" s="990"/>
      <c r="N2053" s="990"/>
      <c r="O2053" s="1093"/>
      <c r="P2053" s="1079">
        <f>'[1]5.LO'!E251</f>
        <v>0</v>
      </c>
      <c r="Q2053" s="1080"/>
      <c r="R2053" s="1080"/>
      <c r="S2053" s="1080"/>
      <c r="T2053" s="1080"/>
      <c r="U2053" s="1081"/>
      <c r="V2053" s="1082"/>
      <c r="W2053" s="614"/>
      <c r="X2053" s="614"/>
      <c r="Y2053" s="614"/>
      <c r="Z2053" s="614"/>
      <c r="AA2053" s="614"/>
      <c r="AB2053" s="614"/>
      <c r="AC2053" s="614"/>
      <c r="AD2053" s="614"/>
      <c r="AE2053" s="614"/>
    </row>
    <row r="2054" spans="1:31" s="20" customFormat="1" ht="28.5" customHeight="1">
      <c r="A2054" s="18"/>
      <c r="B2054" s="567"/>
      <c r="C2054" s="567"/>
      <c r="D2054" s="1094"/>
      <c r="E2054" s="1095" t="s">
        <v>778</v>
      </c>
      <c r="F2054" s="1095"/>
      <c r="G2054" s="1095"/>
      <c r="H2054" s="1095"/>
      <c r="I2054" s="1095"/>
      <c r="J2054" s="1095"/>
      <c r="K2054" s="1095"/>
      <c r="L2054" s="1095"/>
      <c r="M2054" s="1095"/>
      <c r="N2054" s="1095"/>
      <c r="O2054" s="1096"/>
      <c r="P2054" s="1079">
        <f>'[1]5.LO'!E252</f>
        <v>0</v>
      </c>
      <c r="Q2054" s="1080"/>
      <c r="R2054" s="1080"/>
      <c r="S2054" s="1080"/>
      <c r="T2054" s="1080"/>
      <c r="U2054" s="1081"/>
      <c r="V2054" s="1082"/>
      <c r="W2054" s="614"/>
      <c r="X2054" s="614"/>
      <c r="Y2054" s="614"/>
      <c r="Z2054" s="614"/>
      <c r="AA2054" s="614"/>
      <c r="AB2054" s="614"/>
      <c r="AC2054" s="614"/>
      <c r="AD2054" s="614"/>
      <c r="AE2054" s="614"/>
    </row>
    <row r="2055" spans="1:31" s="20" customFormat="1" ht="22.5" customHeight="1">
      <c r="A2055" s="18"/>
      <c r="B2055" s="567"/>
      <c r="C2055" s="567"/>
      <c r="D2055" s="1094"/>
      <c r="E2055" s="1054" t="s">
        <v>779</v>
      </c>
      <c r="F2055" s="990"/>
      <c r="G2055" s="990"/>
      <c r="H2055" s="990"/>
      <c r="I2055" s="990"/>
      <c r="J2055" s="990"/>
      <c r="K2055" s="990"/>
      <c r="L2055" s="990"/>
      <c r="M2055" s="990"/>
      <c r="N2055" s="990"/>
      <c r="O2055" s="1093"/>
      <c r="P2055" s="1079">
        <f>'[1]5.LO'!E253</f>
        <v>0</v>
      </c>
      <c r="Q2055" s="1080"/>
      <c r="R2055" s="1080"/>
      <c r="S2055" s="1080"/>
      <c r="T2055" s="1080"/>
      <c r="U2055" s="1081"/>
      <c r="V2055" s="1082"/>
      <c r="W2055" s="614"/>
      <c r="X2055" s="614"/>
      <c r="Y2055" s="614"/>
      <c r="Z2055" s="614"/>
      <c r="AA2055" s="614"/>
      <c r="AB2055" s="614"/>
      <c r="AC2055" s="614"/>
      <c r="AD2055" s="614"/>
      <c r="AE2055" s="614"/>
    </row>
    <row r="2056" spans="1:31" s="20" customFormat="1" ht="22.5" customHeight="1">
      <c r="A2056" s="14"/>
      <c r="B2056" s="567"/>
      <c r="C2056" s="567"/>
      <c r="D2056" s="411" t="s">
        <v>780</v>
      </c>
      <c r="E2056" s="454"/>
      <c r="F2056" s="454"/>
      <c r="G2056" s="454"/>
      <c r="H2056" s="454"/>
      <c r="I2056" s="454"/>
      <c r="J2056" s="454"/>
      <c r="K2056" s="454"/>
      <c r="L2056" s="454"/>
      <c r="M2056" s="454"/>
      <c r="N2056" s="454"/>
      <c r="O2056" s="455"/>
      <c r="P2056" s="1072">
        <f>P2039+P2035+P2024</f>
        <v>3793494965</v>
      </c>
      <c r="Q2056" s="1073"/>
      <c r="R2056" s="1073"/>
      <c r="S2056" s="1073"/>
      <c r="T2056" s="1073"/>
      <c r="U2056" s="1074"/>
      <c r="V2056" s="1075"/>
      <c r="W2056" s="614"/>
      <c r="X2056" s="614"/>
      <c r="Y2056" s="614"/>
      <c r="Z2056" s="614"/>
      <c r="AA2056" s="614"/>
      <c r="AB2056" s="614"/>
      <c r="AC2056" s="614"/>
      <c r="AD2056" s="614"/>
      <c r="AE2056" s="614"/>
    </row>
    <row r="2057" spans="1:31" s="20" customFormat="1" ht="22.5" customHeight="1">
      <c r="A2057" s="18"/>
      <c r="B2057" s="567"/>
      <c r="C2057" s="567"/>
      <c r="D2057" s="567"/>
      <c r="E2057" s="567"/>
      <c r="F2057" s="567"/>
      <c r="G2057" s="567"/>
      <c r="H2057" s="567"/>
      <c r="I2057" s="567"/>
      <c r="J2057" s="1101"/>
      <c r="K2057" s="1101"/>
      <c r="L2057" s="1101"/>
      <c r="M2057" s="1101"/>
      <c r="N2057" s="1101"/>
      <c r="O2057" s="1101"/>
      <c r="P2057" s="1101"/>
      <c r="Q2057" s="1101"/>
      <c r="R2057" s="1101"/>
      <c r="S2057" s="1101"/>
      <c r="T2057" s="518"/>
      <c r="U2057" s="518"/>
      <c r="V2057" s="1082"/>
      <c r="W2057" s="614"/>
      <c r="X2057" s="614"/>
      <c r="Y2057" s="614"/>
      <c r="Z2057" s="614"/>
      <c r="AA2057" s="614"/>
      <c r="AB2057" s="614"/>
      <c r="AC2057" s="614"/>
      <c r="AD2057" s="614"/>
      <c r="AE2057" s="614"/>
    </row>
    <row r="2058" spans="1:31" s="20" customFormat="1" ht="22.5" customHeight="1">
      <c r="A2058" s="18"/>
      <c r="B2058" s="982"/>
      <c r="C2058" s="1089" t="s">
        <v>165</v>
      </c>
      <c r="D2058" s="1062" t="s">
        <v>670</v>
      </c>
      <c r="E2058" s="1062"/>
      <c r="F2058" s="1062"/>
      <c r="G2058" s="1062"/>
      <c r="H2058" s="1062"/>
      <c r="I2058" s="1062"/>
      <c r="J2058" s="1062"/>
      <c r="K2058" s="1062"/>
      <c r="L2058" s="1062"/>
      <c r="M2058" s="1062"/>
      <c r="N2058" s="1062"/>
      <c r="O2058" s="1062"/>
      <c r="P2058" s="1062"/>
      <c r="Q2058" s="1062"/>
      <c r="R2058" s="1062"/>
      <c r="S2058" s="1062"/>
      <c r="T2058" s="1062"/>
      <c r="U2058" s="1062"/>
      <c r="V2058" s="1082"/>
      <c r="W2058" s="614"/>
      <c r="X2058" s="614"/>
      <c r="Y2058" s="614"/>
      <c r="Z2058" s="614"/>
      <c r="AA2058" s="614"/>
      <c r="AB2058" s="614"/>
      <c r="AC2058" s="614"/>
      <c r="AD2058" s="614"/>
      <c r="AE2058" s="614"/>
    </row>
    <row r="2059" spans="1:31" s="20" customFormat="1" ht="14.25" customHeight="1">
      <c r="A2059" s="18"/>
      <c r="C2059" s="37"/>
      <c r="D2059" s="313" t="str">
        <f>"Jumlah Beban  Jasa Tahun "&amp;'[1]2.ISIAN DATA SKPD'!D11&amp;" dan tahun "&amp;'[1]2.ISIAN DATA SKPD'!D12&amp;" masing-masing  sebesar Rp. "&amp;FIXED(J1934)&amp;" dan "&amp;FIXED(P1934)&amp;" mengalami kenaikan/penurunan sebesar Rp. "&amp;FIXED(AC1934)&amp;" atau sebesar "&amp;FIXED(Y1934)&amp;"% dari tahun "&amp;'[1]2.ISIAN DATA SKPD'!D12&amp;"."</f>
        <v>Jumlah Beban  Jasa Tahun 2017 dan tahun 2016 masing-masing  sebesar Rp. 10,836,563,634.00 dan 9,155,495,525.00 mengalami kenaikan/penurunan sebesar Rp. 1,681,068,109.00 atau sebesar 18.36% dari tahun 2016.</v>
      </c>
      <c r="E2059" s="313"/>
      <c r="F2059" s="313"/>
      <c r="G2059" s="313"/>
      <c r="H2059" s="313"/>
      <c r="I2059" s="313"/>
      <c r="J2059" s="313"/>
      <c r="K2059" s="313"/>
      <c r="L2059" s="313"/>
      <c r="M2059" s="313"/>
      <c r="N2059" s="313"/>
      <c r="O2059" s="313"/>
      <c r="P2059" s="313"/>
      <c r="Q2059" s="313"/>
      <c r="R2059" s="313"/>
      <c r="S2059" s="313"/>
      <c r="T2059" s="313"/>
      <c r="U2059" s="313"/>
      <c r="V2059" s="1082"/>
      <c r="W2059" s="614"/>
      <c r="X2059" s="614"/>
      <c r="Y2059" s="614"/>
      <c r="Z2059" s="614"/>
      <c r="AA2059" s="614"/>
      <c r="AB2059" s="614"/>
      <c r="AC2059" s="614"/>
      <c r="AD2059" s="614"/>
      <c r="AE2059" s="614"/>
    </row>
    <row r="2060" spans="1:31" s="20" customFormat="1" ht="14.25" customHeight="1">
      <c r="A2060" s="18"/>
      <c r="C2060" s="37"/>
      <c r="D2060" s="313" t="s">
        <v>781</v>
      </c>
      <c r="E2060" s="313"/>
      <c r="F2060" s="313"/>
      <c r="G2060" s="313"/>
      <c r="H2060" s="313"/>
      <c r="I2060" s="313"/>
      <c r="J2060" s="313"/>
      <c r="K2060" s="313"/>
      <c r="L2060" s="313"/>
      <c r="M2060" s="313"/>
      <c r="N2060" s="313"/>
      <c r="O2060" s="313"/>
      <c r="P2060" s="313"/>
      <c r="Q2060" s="313"/>
      <c r="R2060" s="313"/>
      <c r="S2060" s="313"/>
      <c r="T2060" s="313"/>
      <c r="U2060" s="313"/>
      <c r="V2060" s="1082"/>
      <c r="W2060" s="614"/>
      <c r="X2060" s="614"/>
      <c r="Y2060" s="614"/>
      <c r="Z2060" s="614"/>
      <c r="AA2060" s="614"/>
      <c r="AB2060" s="614"/>
      <c r="AC2060" s="614"/>
      <c r="AD2060" s="614"/>
      <c r="AE2060" s="614"/>
    </row>
    <row r="2061" spans="1:31" s="20" customFormat="1" ht="35.25" customHeight="1">
      <c r="A2061" s="18"/>
      <c r="B2061" s="27"/>
      <c r="C2061" s="27"/>
      <c r="D2061" s="313" t="str">
        <f>"Rincian Beban Barang dan Jasa untuk Tahun "&amp;'[1]2.ISIAN DATA SKPD'!D11&amp;"  adalah sebagai berikut:"</f>
        <v>Rincian Beban Barang dan Jasa untuk Tahun 2017  adalah sebagai berikut:</v>
      </c>
      <c r="E2061" s="313"/>
      <c r="F2061" s="313"/>
      <c r="G2061" s="313"/>
      <c r="H2061" s="313"/>
      <c r="I2061" s="313"/>
      <c r="J2061" s="313"/>
      <c r="K2061" s="313"/>
      <c r="L2061" s="313"/>
      <c r="M2061" s="313"/>
      <c r="N2061" s="313"/>
      <c r="O2061" s="313"/>
      <c r="P2061" s="313"/>
      <c r="Q2061" s="313"/>
      <c r="R2061" s="313"/>
      <c r="S2061" s="313"/>
      <c r="T2061" s="313"/>
      <c r="U2061" s="313"/>
      <c r="V2061" s="1082"/>
      <c r="W2061" s="614"/>
      <c r="X2061" s="614"/>
      <c r="Y2061" s="614"/>
      <c r="Z2061" s="614"/>
      <c r="AA2061" s="614"/>
      <c r="AB2061" s="614"/>
      <c r="AC2061" s="614"/>
      <c r="AD2061" s="614"/>
      <c r="AE2061" s="614"/>
    </row>
    <row r="2062" spans="1:31" s="20" customFormat="1" ht="14.25" customHeight="1">
      <c r="A2062" s="18"/>
      <c r="B2062" s="27"/>
      <c r="C2062" s="27"/>
      <c r="D2062" s="285"/>
      <c r="E2062" s="285"/>
      <c r="F2062" s="285"/>
      <c r="G2062" s="285"/>
      <c r="H2062" s="285"/>
      <c r="I2062" s="285"/>
      <c r="J2062" s="285"/>
      <c r="K2062" s="285"/>
      <c r="L2062" s="285"/>
      <c r="M2062" s="285"/>
      <c r="N2062" s="285"/>
      <c r="O2062" s="285"/>
      <c r="P2062" s="285"/>
      <c r="Q2062" s="285"/>
      <c r="R2062" s="285"/>
      <c r="S2062" s="285"/>
      <c r="T2062" s="285"/>
      <c r="U2062" s="285"/>
      <c r="V2062" s="1082"/>
      <c r="W2062" s="614"/>
      <c r="X2062" s="614"/>
      <c r="Y2062" s="614"/>
      <c r="Z2062" s="614"/>
      <c r="AA2062" s="614"/>
      <c r="AB2062" s="614"/>
      <c r="AC2062" s="614"/>
      <c r="AD2062" s="614"/>
      <c r="AE2062" s="614"/>
    </row>
    <row r="2063" spans="1:31" s="20" customFormat="1" ht="14.25" customHeight="1">
      <c r="A2063" s="18"/>
      <c r="B2063" s="27"/>
      <c r="C2063" s="27"/>
      <c r="D2063" s="386" t="str">
        <f>"Rincian Beban Jasa Tahun "&amp;'[1]2.ISIAN DATA SKPD'!D11&amp;""</f>
        <v>Rincian Beban Jasa Tahun 2017</v>
      </c>
      <c r="E2063" s="386"/>
      <c r="F2063" s="386"/>
      <c r="G2063" s="386"/>
      <c r="H2063" s="386"/>
      <c r="I2063" s="386"/>
      <c r="J2063" s="386"/>
      <c r="K2063" s="386"/>
      <c r="L2063" s="386"/>
      <c r="M2063" s="386"/>
      <c r="N2063" s="386"/>
      <c r="O2063" s="386"/>
      <c r="P2063" s="386"/>
      <c r="Q2063" s="386"/>
      <c r="R2063" s="386"/>
      <c r="S2063" s="386"/>
      <c r="T2063" s="386"/>
      <c r="U2063" s="386"/>
      <c r="V2063" s="1082"/>
      <c r="W2063" s="614"/>
      <c r="X2063" s="614"/>
      <c r="Y2063" s="614"/>
      <c r="Z2063" s="614"/>
      <c r="AA2063" s="614"/>
      <c r="AB2063" s="614"/>
      <c r="AC2063" s="614"/>
      <c r="AD2063" s="614"/>
      <c r="AE2063" s="614"/>
    </row>
    <row r="2064" spans="1:31" s="20" customFormat="1" ht="14.25" customHeight="1">
      <c r="A2064" s="18"/>
      <c r="B2064" s="27"/>
      <c r="C2064" s="27"/>
      <c r="D2064" s="303" t="s">
        <v>782</v>
      </c>
      <c r="E2064" s="304"/>
      <c r="F2064" s="304"/>
      <c r="G2064" s="304"/>
      <c r="H2064" s="304"/>
      <c r="I2064" s="304"/>
      <c r="J2064" s="304"/>
      <c r="K2064" s="304"/>
      <c r="L2064" s="304"/>
      <c r="M2064" s="304"/>
      <c r="N2064" s="304"/>
      <c r="O2064" s="305"/>
      <c r="P2064" s="132" t="s">
        <v>143</v>
      </c>
      <c r="Q2064" s="132"/>
      <c r="R2064" s="132"/>
      <c r="S2064" s="132"/>
      <c r="T2064" s="132"/>
      <c r="U2064" s="132"/>
      <c r="V2064" s="1082"/>
      <c r="W2064" s="614"/>
      <c r="X2064" s="614"/>
      <c r="Y2064" s="614"/>
      <c r="Z2064" s="614"/>
      <c r="AA2064" s="614"/>
      <c r="AB2064" s="614"/>
      <c r="AC2064" s="614"/>
      <c r="AD2064" s="614"/>
      <c r="AE2064" s="614"/>
    </row>
    <row r="2065" spans="1:31" s="20" customFormat="1" ht="14.25" customHeight="1">
      <c r="A2065" s="18"/>
      <c r="B2065" s="27"/>
      <c r="C2065" s="27"/>
      <c r="D2065" s="1071" t="s">
        <v>783</v>
      </c>
      <c r="E2065" s="1093"/>
      <c r="F2065" s="1102"/>
      <c r="G2065" s="1102"/>
      <c r="H2065" s="1102"/>
      <c r="I2065" s="1102"/>
      <c r="J2065" s="1102"/>
      <c r="K2065" s="1102"/>
      <c r="L2065" s="1102"/>
      <c r="M2065" s="1102"/>
      <c r="N2065" s="1102"/>
      <c r="O2065" s="1103"/>
      <c r="P2065" s="994">
        <f>SUM(P2066:U2103)</f>
        <v>8891756134</v>
      </c>
      <c r="Q2065" s="995"/>
      <c r="R2065" s="995"/>
      <c r="S2065" s="995"/>
      <c r="T2065" s="995"/>
      <c r="U2065" s="996"/>
      <c r="V2065" s="1082"/>
      <c r="W2065" s="614"/>
      <c r="X2065" s="614"/>
      <c r="Y2065" s="614"/>
      <c r="Z2065" s="614"/>
      <c r="AA2065" s="614"/>
      <c r="AB2065" s="614"/>
      <c r="AC2065" s="614"/>
      <c r="AD2065" s="614"/>
      <c r="AE2065" s="614"/>
    </row>
    <row r="2066" spans="1:31" s="20" customFormat="1" ht="14.25" customHeight="1">
      <c r="A2066" s="18"/>
      <c r="B2066" s="27"/>
      <c r="C2066" s="27"/>
      <c r="D2066" s="1006"/>
      <c r="E2066" s="1097" t="s">
        <v>784</v>
      </c>
      <c r="F2066" s="1102"/>
      <c r="G2066" s="1102"/>
      <c r="H2066" s="1102"/>
      <c r="I2066" s="1102"/>
      <c r="J2066" s="1102"/>
      <c r="K2066" s="1102"/>
      <c r="L2066" s="1102"/>
      <c r="M2066" s="1102"/>
      <c r="N2066" s="1102"/>
      <c r="O2066" s="1103"/>
      <c r="P2066" s="940">
        <f>'[1]5.LO'!E256</f>
        <v>9497097</v>
      </c>
      <c r="Q2066" s="941"/>
      <c r="R2066" s="941"/>
      <c r="S2066" s="941"/>
      <c r="T2066" s="941"/>
      <c r="U2066" s="942"/>
      <c r="V2066" s="1082"/>
      <c r="W2066" s="614"/>
      <c r="X2066" s="614"/>
      <c r="Y2066" s="614"/>
      <c r="Z2066" s="614"/>
      <c r="AA2066" s="614"/>
      <c r="AB2066" s="614"/>
      <c r="AC2066" s="614"/>
      <c r="AD2066" s="614"/>
      <c r="AE2066" s="614"/>
    </row>
    <row r="2067" spans="1:31" s="20" customFormat="1" ht="14.25" customHeight="1">
      <c r="A2067" s="18"/>
      <c r="B2067" s="27"/>
      <c r="C2067" s="27"/>
      <c r="D2067" s="1006"/>
      <c r="E2067" s="1097" t="s">
        <v>785</v>
      </c>
      <c r="F2067" s="1102"/>
      <c r="G2067" s="1102"/>
      <c r="H2067" s="1102"/>
      <c r="I2067" s="1102"/>
      <c r="J2067" s="1102"/>
      <c r="K2067" s="1102"/>
      <c r="L2067" s="1102"/>
      <c r="M2067" s="1102"/>
      <c r="N2067" s="1102"/>
      <c r="O2067" s="1103"/>
      <c r="P2067" s="940">
        <f>'[1]5.LO'!E257</f>
        <v>13507105</v>
      </c>
      <c r="Q2067" s="941"/>
      <c r="R2067" s="941"/>
      <c r="S2067" s="941"/>
      <c r="T2067" s="941"/>
      <c r="U2067" s="942"/>
      <c r="V2067" s="1082"/>
      <c r="W2067" s="614"/>
      <c r="X2067" s="614"/>
      <c r="Y2067" s="614"/>
      <c r="Z2067" s="614"/>
      <c r="AA2067" s="614"/>
      <c r="AB2067" s="614"/>
      <c r="AC2067" s="614"/>
      <c r="AD2067" s="614"/>
      <c r="AE2067" s="614"/>
    </row>
    <row r="2068" spans="1:31" s="20" customFormat="1" ht="14.25" customHeight="1">
      <c r="A2068" s="18"/>
      <c r="B2068" s="27"/>
      <c r="C2068" s="27"/>
      <c r="D2068" s="1006"/>
      <c r="E2068" s="1097" t="s">
        <v>786</v>
      </c>
      <c r="F2068" s="1102"/>
      <c r="G2068" s="1102"/>
      <c r="H2068" s="1102"/>
      <c r="I2068" s="1102"/>
      <c r="J2068" s="1102"/>
      <c r="K2068" s="1102"/>
      <c r="L2068" s="1102"/>
      <c r="M2068" s="1102"/>
      <c r="N2068" s="1102"/>
      <c r="O2068" s="1103"/>
      <c r="P2068" s="940">
        <f>'[1]5.LO'!E258</f>
        <v>21204082</v>
      </c>
      <c r="Q2068" s="941"/>
      <c r="R2068" s="941"/>
      <c r="S2068" s="941"/>
      <c r="T2068" s="941"/>
      <c r="U2068" s="942"/>
      <c r="V2068" s="1082"/>
      <c r="W2068" s="614"/>
      <c r="X2068" s="614"/>
      <c r="Y2068" s="614"/>
      <c r="Z2068" s="614"/>
      <c r="AA2068" s="614"/>
      <c r="AB2068" s="614"/>
      <c r="AC2068" s="614"/>
      <c r="AD2068" s="614"/>
      <c r="AE2068" s="614"/>
    </row>
    <row r="2069" spans="1:31" s="20" customFormat="1" ht="14.25" customHeight="1">
      <c r="A2069" s="18"/>
      <c r="B2069" s="27"/>
      <c r="C2069" s="27"/>
      <c r="D2069" s="1006"/>
      <c r="E2069" s="1097" t="s">
        <v>787</v>
      </c>
      <c r="F2069" s="1102"/>
      <c r="G2069" s="1102"/>
      <c r="H2069" s="1102"/>
      <c r="I2069" s="1102"/>
      <c r="J2069" s="1102"/>
      <c r="K2069" s="1102"/>
      <c r="L2069" s="1102"/>
      <c r="M2069" s="1102"/>
      <c r="N2069" s="1102"/>
      <c r="O2069" s="1103"/>
      <c r="P2069" s="940">
        <f>'[1]5.LO'!E259</f>
        <v>2874000</v>
      </c>
      <c r="Q2069" s="941"/>
      <c r="R2069" s="941"/>
      <c r="S2069" s="941"/>
      <c r="T2069" s="941"/>
      <c r="U2069" s="942"/>
      <c r="V2069" s="1082"/>
      <c r="W2069" s="614"/>
      <c r="X2069" s="614"/>
      <c r="Y2069" s="614"/>
      <c r="Z2069" s="614"/>
      <c r="AA2069" s="614"/>
      <c r="AB2069" s="614"/>
      <c r="AC2069" s="614"/>
      <c r="AD2069" s="614"/>
      <c r="AE2069" s="614"/>
    </row>
    <row r="2070" spans="1:31" s="20" customFormat="1" ht="14.25" customHeight="1">
      <c r="A2070" s="18"/>
      <c r="B2070" s="27"/>
      <c r="C2070" s="27"/>
      <c r="D2070" s="1006"/>
      <c r="E2070" s="1097" t="s">
        <v>788</v>
      </c>
      <c r="F2070" s="1102"/>
      <c r="G2070" s="1102"/>
      <c r="H2070" s="1102"/>
      <c r="I2070" s="1102"/>
      <c r="J2070" s="1102"/>
      <c r="K2070" s="1102"/>
      <c r="L2070" s="1102"/>
      <c r="M2070" s="1102"/>
      <c r="N2070" s="1102"/>
      <c r="O2070" s="1103"/>
      <c r="P2070" s="940">
        <f>'[1]5.LO'!E260</f>
        <v>0</v>
      </c>
      <c r="Q2070" s="941"/>
      <c r="R2070" s="941"/>
      <c r="S2070" s="941"/>
      <c r="T2070" s="941"/>
      <c r="U2070" s="942"/>
      <c r="V2070" s="1082"/>
      <c r="W2070" s="614"/>
      <c r="X2070" s="614"/>
      <c r="Y2070" s="614"/>
      <c r="Z2070" s="614"/>
      <c r="AA2070" s="614"/>
      <c r="AB2070" s="614"/>
      <c r="AC2070" s="614"/>
      <c r="AD2070" s="614"/>
      <c r="AE2070" s="614"/>
    </row>
    <row r="2071" spans="1:31" s="20" customFormat="1" ht="14.25" customHeight="1">
      <c r="A2071" s="18"/>
      <c r="B2071" s="27"/>
      <c r="C2071" s="27"/>
      <c r="D2071" s="1006"/>
      <c r="E2071" s="1097" t="s">
        <v>789</v>
      </c>
      <c r="F2071" s="1102"/>
      <c r="G2071" s="1102"/>
      <c r="H2071" s="1102"/>
      <c r="I2071" s="1102"/>
      <c r="J2071" s="1102"/>
      <c r="K2071" s="1102"/>
      <c r="L2071" s="1102"/>
      <c r="M2071" s="1102"/>
      <c r="N2071" s="1102"/>
      <c r="O2071" s="1103"/>
      <c r="P2071" s="940">
        <f>'[1]5.LO'!E261</f>
        <v>0</v>
      </c>
      <c r="Q2071" s="941"/>
      <c r="R2071" s="941"/>
      <c r="S2071" s="941"/>
      <c r="T2071" s="941"/>
      <c r="U2071" s="942"/>
      <c r="V2071" s="1082"/>
      <c r="W2071" s="614"/>
      <c r="X2071" s="614"/>
      <c r="Y2071" s="614"/>
      <c r="Z2071" s="614"/>
      <c r="AA2071" s="614"/>
      <c r="AB2071" s="614"/>
      <c r="AC2071" s="614"/>
      <c r="AD2071" s="614"/>
      <c r="AE2071" s="614"/>
    </row>
    <row r="2072" spans="1:31" s="20" customFormat="1" ht="14.25" customHeight="1">
      <c r="A2072" s="18"/>
      <c r="B2072" s="27"/>
      <c r="C2072" s="27"/>
      <c r="D2072" s="1006"/>
      <c r="E2072" s="1097" t="s">
        <v>790</v>
      </c>
      <c r="F2072" s="1102"/>
      <c r="G2072" s="1102"/>
      <c r="H2072" s="1102"/>
      <c r="I2072" s="1102"/>
      <c r="J2072" s="1102"/>
      <c r="K2072" s="1102"/>
      <c r="L2072" s="1102"/>
      <c r="M2072" s="1102"/>
      <c r="N2072" s="1102"/>
      <c r="O2072" s="1103"/>
      <c r="P2072" s="940">
        <f>'[1]5.LO'!E262</f>
        <v>9317400</v>
      </c>
      <c r="Q2072" s="941"/>
      <c r="R2072" s="941"/>
      <c r="S2072" s="941"/>
      <c r="T2072" s="941"/>
      <c r="U2072" s="942"/>
      <c r="V2072" s="1082"/>
      <c r="W2072" s="614"/>
      <c r="X2072" s="614"/>
      <c r="Y2072" s="614"/>
      <c r="Z2072" s="614"/>
      <c r="AA2072" s="614"/>
      <c r="AB2072" s="614"/>
      <c r="AC2072" s="614"/>
      <c r="AD2072" s="614"/>
      <c r="AE2072" s="614"/>
    </row>
    <row r="2073" spans="1:31" s="20" customFormat="1" ht="14.25" customHeight="1">
      <c r="A2073" s="18"/>
      <c r="B2073" s="27"/>
      <c r="C2073" s="27"/>
      <c r="D2073" s="1006"/>
      <c r="E2073" s="1097" t="s">
        <v>791</v>
      </c>
      <c r="F2073" s="1102"/>
      <c r="G2073" s="1102"/>
      <c r="H2073" s="1102"/>
      <c r="I2073" s="1102"/>
      <c r="J2073" s="1102"/>
      <c r="K2073" s="1102"/>
      <c r="L2073" s="1102"/>
      <c r="M2073" s="1102"/>
      <c r="N2073" s="1102"/>
      <c r="O2073" s="1103"/>
      <c r="P2073" s="940">
        <f>'[1]5.LO'!E263</f>
        <v>3100000</v>
      </c>
      <c r="Q2073" s="941"/>
      <c r="R2073" s="941"/>
      <c r="S2073" s="941"/>
      <c r="T2073" s="941"/>
      <c r="U2073" s="942"/>
      <c r="V2073" s="1082"/>
      <c r="W2073" s="614"/>
      <c r="X2073" s="614"/>
      <c r="Y2073" s="614"/>
      <c r="Z2073" s="614"/>
      <c r="AA2073" s="614"/>
      <c r="AB2073" s="614"/>
      <c r="AC2073" s="614"/>
      <c r="AD2073" s="614"/>
      <c r="AE2073" s="614"/>
    </row>
    <row r="2074" spans="1:31" s="20" customFormat="1" ht="14.25" customHeight="1">
      <c r="A2074" s="18"/>
      <c r="B2074" s="27"/>
      <c r="C2074" s="27"/>
      <c r="D2074" s="1006"/>
      <c r="E2074" s="1097" t="s">
        <v>792</v>
      </c>
      <c r="F2074" s="1102"/>
      <c r="G2074" s="1102"/>
      <c r="H2074" s="1102"/>
      <c r="I2074" s="1102"/>
      <c r="J2074" s="1102"/>
      <c r="K2074" s="1102"/>
      <c r="L2074" s="1102"/>
      <c r="M2074" s="1102"/>
      <c r="N2074" s="1102"/>
      <c r="O2074" s="1103"/>
      <c r="P2074" s="940">
        <f>'[1]5.LO'!E264</f>
        <v>0</v>
      </c>
      <c r="Q2074" s="941"/>
      <c r="R2074" s="941"/>
      <c r="S2074" s="941"/>
      <c r="T2074" s="941"/>
      <c r="U2074" s="942"/>
      <c r="V2074" s="1082"/>
      <c r="W2074" s="614"/>
      <c r="X2074" s="614"/>
      <c r="Y2074" s="614"/>
      <c r="Z2074" s="614"/>
      <c r="AA2074" s="614"/>
      <c r="AB2074" s="614"/>
      <c r="AC2074" s="614"/>
      <c r="AD2074" s="614"/>
      <c r="AE2074" s="614"/>
    </row>
    <row r="2075" spans="1:31" s="20" customFormat="1" ht="14.25" customHeight="1">
      <c r="A2075" s="18"/>
      <c r="B2075" s="27"/>
      <c r="C2075" s="27"/>
      <c r="D2075" s="1006"/>
      <c r="E2075" s="1097" t="s">
        <v>793</v>
      </c>
      <c r="F2075" s="1102"/>
      <c r="G2075" s="1102"/>
      <c r="H2075" s="1102"/>
      <c r="I2075" s="1102"/>
      <c r="J2075" s="1102"/>
      <c r="K2075" s="1102"/>
      <c r="L2075" s="1102"/>
      <c r="M2075" s="1102"/>
      <c r="N2075" s="1102"/>
      <c r="O2075" s="1103"/>
      <c r="P2075" s="940">
        <f>'[1]5.LO'!E265</f>
        <v>0</v>
      </c>
      <c r="Q2075" s="941"/>
      <c r="R2075" s="941"/>
      <c r="S2075" s="941"/>
      <c r="T2075" s="941"/>
      <c r="U2075" s="942"/>
      <c r="V2075" s="1082"/>
      <c r="W2075" s="614"/>
      <c r="X2075" s="614"/>
      <c r="Y2075" s="614"/>
      <c r="Z2075" s="614"/>
      <c r="AA2075" s="614"/>
      <c r="AB2075" s="614"/>
      <c r="AC2075" s="614"/>
      <c r="AD2075" s="614"/>
      <c r="AE2075" s="614"/>
    </row>
    <row r="2076" spans="1:31" s="20" customFormat="1" ht="14.25" customHeight="1">
      <c r="A2076" s="18"/>
      <c r="B2076" s="27"/>
      <c r="C2076" s="27"/>
      <c r="D2076" s="1006"/>
      <c r="E2076" s="1097" t="s">
        <v>794</v>
      </c>
      <c r="F2076" s="1102"/>
      <c r="G2076" s="1102"/>
      <c r="H2076" s="1102"/>
      <c r="I2076" s="1102"/>
      <c r="J2076" s="1102"/>
      <c r="K2076" s="1102"/>
      <c r="L2076" s="1102"/>
      <c r="M2076" s="1102"/>
      <c r="N2076" s="1102"/>
      <c r="O2076" s="1103"/>
      <c r="P2076" s="940">
        <f>'[1]5.LO'!E266</f>
        <v>0</v>
      </c>
      <c r="Q2076" s="941"/>
      <c r="R2076" s="941"/>
      <c r="S2076" s="941"/>
      <c r="T2076" s="941"/>
      <c r="U2076" s="942"/>
      <c r="V2076" s="1082"/>
      <c r="W2076" s="614"/>
      <c r="X2076" s="614"/>
      <c r="Y2076" s="614"/>
      <c r="Z2076" s="614"/>
      <c r="AA2076" s="614"/>
      <c r="AB2076" s="614"/>
      <c r="AC2076" s="614"/>
      <c r="AD2076" s="614"/>
      <c r="AE2076" s="614"/>
    </row>
    <row r="2077" spans="1:31" s="20" customFormat="1" ht="14.25" customHeight="1">
      <c r="A2077" s="18"/>
      <c r="B2077" s="27"/>
      <c r="C2077" s="27"/>
      <c r="D2077" s="1006"/>
      <c r="E2077" s="1097" t="s">
        <v>795</v>
      </c>
      <c r="F2077" s="1102"/>
      <c r="G2077" s="1102"/>
      <c r="H2077" s="1102"/>
      <c r="I2077" s="1102"/>
      <c r="J2077" s="1102"/>
      <c r="K2077" s="1102"/>
      <c r="L2077" s="1102"/>
      <c r="M2077" s="1102"/>
      <c r="N2077" s="1102"/>
      <c r="O2077" s="1103"/>
      <c r="P2077" s="940">
        <f>'[1]5.LO'!E267</f>
        <v>0</v>
      </c>
      <c r="Q2077" s="941"/>
      <c r="R2077" s="941"/>
      <c r="S2077" s="941"/>
      <c r="T2077" s="941"/>
      <c r="U2077" s="942"/>
      <c r="V2077" s="1082"/>
      <c r="W2077" s="614"/>
      <c r="X2077" s="614"/>
      <c r="Y2077" s="614"/>
      <c r="Z2077" s="614"/>
      <c r="AA2077" s="614"/>
      <c r="AB2077" s="614"/>
      <c r="AC2077" s="614"/>
      <c r="AD2077" s="614"/>
      <c r="AE2077" s="614"/>
    </row>
    <row r="2078" spans="1:31" s="20" customFormat="1" ht="14.25" customHeight="1">
      <c r="A2078" s="18"/>
      <c r="B2078" s="27"/>
      <c r="C2078" s="27"/>
      <c r="D2078" s="1006"/>
      <c r="E2078" s="1097" t="s">
        <v>796</v>
      </c>
      <c r="F2078" s="1102"/>
      <c r="G2078" s="1102"/>
      <c r="H2078" s="1102"/>
      <c r="I2078" s="1102"/>
      <c r="J2078" s="1102"/>
      <c r="K2078" s="1102"/>
      <c r="L2078" s="1102"/>
      <c r="M2078" s="1102"/>
      <c r="N2078" s="1102"/>
      <c r="O2078" s="1103"/>
      <c r="P2078" s="940">
        <f>'[1]5.LO'!E268</f>
        <v>41930000</v>
      </c>
      <c r="Q2078" s="941"/>
      <c r="R2078" s="941"/>
      <c r="S2078" s="941"/>
      <c r="T2078" s="941"/>
      <c r="U2078" s="942"/>
      <c r="V2078" s="1082"/>
      <c r="W2078" s="614"/>
      <c r="X2078" s="614"/>
      <c r="Y2078" s="614"/>
      <c r="Z2078" s="614"/>
      <c r="AA2078" s="614"/>
      <c r="AB2078" s="614"/>
      <c r="AC2078" s="614"/>
      <c r="AD2078" s="614"/>
      <c r="AE2078" s="614"/>
    </row>
    <row r="2079" spans="1:31" s="20" customFormat="1" ht="14.25" customHeight="1">
      <c r="A2079" s="18"/>
      <c r="B2079" s="27"/>
      <c r="C2079" s="27"/>
      <c r="D2079" s="1006"/>
      <c r="E2079" s="1097" t="s">
        <v>797</v>
      </c>
      <c r="F2079" s="1102"/>
      <c r="G2079" s="1102"/>
      <c r="H2079" s="1102"/>
      <c r="I2079" s="1102"/>
      <c r="J2079" s="1102"/>
      <c r="K2079" s="1102"/>
      <c r="L2079" s="1102"/>
      <c r="M2079" s="1102"/>
      <c r="N2079" s="1102"/>
      <c r="O2079" s="1103"/>
      <c r="P2079" s="940">
        <f>'[1]5.LO'!E269</f>
        <v>60000</v>
      </c>
      <c r="Q2079" s="941"/>
      <c r="R2079" s="941"/>
      <c r="S2079" s="941"/>
      <c r="T2079" s="941"/>
      <c r="U2079" s="942"/>
      <c r="V2079" s="1082"/>
      <c r="W2079" s="614"/>
      <c r="X2079" s="614"/>
      <c r="Y2079" s="614"/>
      <c r="Z2079" s="614"/>
      <c r="AA2079" s="614"/>
      <c r="AB2079" s="614"/>
      <c r="AC2079" s="614"/>
      <c r="AD2079" s="614"/>
      <c r="AE2079" s="614"/>
    </row>
    <row r="2080" spans="1:31" s="20" customFormat="1" ht="14.25" customHeight="1">
      <c r="A2080" s="18"/>
      <c r="B2080" s="27"/>
      <c r="C2080" s="27"/>
      <c r="D2080" s="1006"/>
      <c r="E2080" s="1097" t="s">
        <v>798</v>
      </c>
      <c r="F2080" s="1102"/>
      <c r="G2080" s="1102"/>
      <c r="H2080" s="1102"/>
      <c r="I2080" s="1102"/>
      <c r="J2080" s="1102"/>
      <c r="K2080" s="1102"/>
      <c r="L2080" s="1102"/>
      <c r="M2080" s="1102"/>
      <c r="N2080" s="1102"/>
      <c r="O2080" s="1103"/>
      <c r="P2080" s="940">
        <f>'[1]5.LO'!E270</f>
        <v>516210800</v>
      </c>
      <c r="Q2080" s="941"/>
      <c r="R2080" s="941"/>
      <c r="S2080" s="941"/>
      <c r="T2080" s="941"/>
      <c r="U2080" s="942"/>
      <c r="V2080" s="1082"/>
      <c r="W2080" s="614"/>
      <c r="X2080" s="614"/>
      <c r="Y2080" s="614"/>
      <c r="Z2080" s="614"/>
      <c r="AA2080" s="614"/>
      <c r="AB2080" s="614"/>
      <c r="AC2080" s="614"/>
      <c r="AD2080" s="614"/>
      <c r="AE2080" s="614"/>
    </row>
    <row r="2081" spans="1:31" s="20" customFormat="1" ht="14.25" customHeight="1">
      <c r="A2081" s="18"/>
      <c r="B2081" s="27"/>
      <c r="C2081" s="27"/>
      <c r="D2081" s="1006"/>
      <c r="E2081" s="1097" t="s">
        <v>799</v>
      </c>
      <c r="F2081" s="1102"/>
      <c r="G2081" s="1102"/>
      <c r="H2081" s="1102"/>
      <c r="I2081" s="1102"/>
      <c r="J2081" s="1102"/>
      <c r="K2081" s="1102"/>
      <c r="L2081" s="1102"/>
      <c r="M2081" s="1102"/>
      <c r="N2081" s="1102"/>
      <c r="O2081" s="1103"/>
      <c r="P2081" s="940">
        <f>'[1]5.LO'!E271</f>
        <v>0</v>
      </c>
      <c r="Q2081" s="941"/>
      <c r="R2081" s="941"/>
      <c r="S2081" s="941"/>
      <c r="T2081" s="941"/>
      <c r="U2081" s="942"/>
      <c r="V2081" s="1082"/>
      <c r="W2081" s="614"/>
      <c r="X2081" s="614"/>
      <c r="Y2081" s="614"/>
      <c r="Z2081" s="614"/>
      <c r="AA2081" s="614"/>
      <c r="AB2081" s="614"/>
      <c r="AC2081" s="614"/>
      <c r="AD2081" s="614"/>
      <c r="AE2081" s="614"/>
    </row>
    <row r="2082" spans="1:31" s="20" customFormat="1" ht="14.25" customHeight="1">
      <c r="A2082" s="18"/>
      <c r="B2082" s="27"/>
      <c r="C2082" s="27"/>
      <c r="D2082" s="1006"/>
      <c r="E2082" s="1097" t="s">
        <v>800</v>
      </c>
      <c r="F2082" s="1102"/>
      <c r="G2082" s="1102"/>
      <c r="H2082" s="1102"/>
      <c r="I2082" s="1102"/>
      <c r="J2082" s="1102"/>
      <c r="K2082" s="1102"/>
      <c r="L2082" s="1102"/>
      <c r="M2082" s="1102"/>
      <c r="N2082" s="1102"/>
      <c r="O2082" s="1103"/>
      <c r="P2082" s="940">
        <f>'[1]5.LO'!E272</f>
        <v>2390957250</v>
      </c>
      <c r="Q2082" s="941"/>
      <c r="R2082" s="941"/>
      <c r="S2082" s="941"/>
      <c r="T2082" s="941"/>
      <c r="U2082" s="942"/>
      <c r="V2082" s="1082"/>
      <c r="W2082" s="614"/>
      <c r="X2082" s="614"/>
      <c r="Y2082" s="614"/>
      <c r="Z2082" s="614"/>
      <c r="AA2082" s="614"/>
      <c r="AB2082" s="614"/>
      <c r="AC2082" s="614"/>
      <c r="AD2082" s="614"/>
      <c r="AE2082" s="614"/>
    </row>
    <row r="2083" spans="1:31" s="20" customFormat="1" ht="14.25" customHeight="1">
      <c r="A2083" s="18"/>
      <c r="B2083" s="27"/>
      <c r="C2083" s="27"/>
      <c r="D2083" s="1006"/>
      <c r="E2083" s="1097" t="s">
        <v>801</v>
      </c>
      <c r="F2083" s="1102"/>
      <c r="G2083" s="1102"/>
      <c r="H2083" s="1102"/>
      <c r="I2083" s="1102"/>
      <c r="J2083" s="1102"/>
      <c r="K2083" s="1102"/>
      <c r="L2083" s="1102"/>
      <c r="M2083" s="1102"/>
      <c r="N2083" s="1102"/>
      <c r="O2083" s="1103"/>
      <c r="P2083" s="940">
        <f>'[1]5.LO'!E273</f>
        <v>254994600</v>
      </c>
      <c r="Q2083" s="941"/>
      <c r="R2083" s="941"/>
      <c r="S2083" s="941"/>
      <c r="T2083" s="941"/>
      <c r="U2083" s="942"/>
      <c r="V2083" s="1082"/>
      <c r="W2083" s="614"/>
      <c r="X2083" s="614"/>
      <c r="Y2083" s="614"/>
      <c r="Z2083" s="614"/>
      <c r="AA2083" s="614"/>
      <c r="AB2083" s="614"/>
      <c r="AC2083" s="614"/>
      <c r="AD2083" s="614"/>
      <c r="AE2083" s="614"/>
    </row>
    <row r="2084" spans="1:31" s="20" customFormat="1" ht="14.25" customHeight="1">
      <c r="A2084" s="18"/>
      <c r="B2084" s="27"/>
      <c r="C2084" s="27"/>
      <c r="D2084" s="1006"/>
      <c r="E2084" s="1097" t="s">
        <v>802</v>
      </c>
      <c r="F2084" s="1102"/>
      <c r="G2084" s="1102"/>
      <c r="H2084" s="1102"/>
      <c r="I2084" s="1102"/>
      <c r="J2084" s="1102"/>
      <c r="K2084" s="1102"/>
      <c r="L2084" s="1102"/>
      <c r="M2084" s="1102"/>
      <c r="N2084" s="1102"/>
      <c r="O2084" s="1103"/>
      <c r="P2084" s="940">
        <f>'[1]5.LO'!E274</f>
        <v>0</v>
      </c>
      <c r="Q2084" s="941"/>
      <c r="R2084" s="941"/>
      <c r="S2084" s="941"/>
      <c r="T2084" s="941"/>
      <c r="U2084" s="942"/>
      <c r="V2084" s="1082"/>
      <c r="W2084" s="614"/>
      <c r="X2084" s="614"/>
      <c r="Y2084" s="614"/>
      <c r="Z2084" s="614"/>
      <c r="AA2084" s="614"/>
      <c r="AB2084" s="614"/>
      <c r="AC2084" s="614"/>
      <c r="AD2084" s="614"/>
      <c r="AE2084" s="614"/>
    </row>
    <row r="2085" spans="1:31" s="20" customFormat="1" ht="14.25" customHeight="1">
      <c r="A2085" s="18"/>
      <c r="B2085" s="27"/>
      <c r="C2085" s="27"/>
      <c r="D2085" s="1006"/>
      <c r="E2085" s="1097" t="s">
        <v>803</v>
      </c>
      <c r="F2085" s="1102"/>
      <c r="G2085" s="1102"/>
      <c r="H2085" s="1102"/>
      <c r="I2085" s="1102"/>
      <c r="J2085" s="1102"/>
      <c r="K2085" s="1102"/>
      <c r="L2085" s="1102"/>
      <c r="M2085" s="1102"/>
      <c r="N2085" s="1102"/>
      <c r="O2085" s="1103"/>
      <c r="P2085" s="940">
        <f>'[1]5.LO'!E275</f>
        <v>0</v>
      </c>
      <c r="Q2085" s="941"/>
      <c r="R2085" s="941"/>
      <c r="S2085" s="941"/>
      <c r="T2085" s="941"/>
      <c r="U2085" s="942"/>
      <c r="V2085" s="1082"/>
      <c r="W2085" s="614"/>
      <c r="X2085" s="614"/>
      <c r="Y2085" s="614"/>
      <c r="Z2085" s="614"/>
      <c r="AA2085" s="614"/>
      <c r="AB2085" s="614"/>
      <c r="AC2085" s="614"/>
      <c r="AD2085" s="614"/>
      <c r="AE2085" s="614"/>
    </row>
    <row r="2086" spans="1:31" s="20" customFormat="1" ht="14.25" customHeight="1">
      <c r="A2086" s="18"/>
      <c r="B2086" s="27"/>
      <c r="C2086" s="27"/>
      <c r="D2086" s="1006"/>
      <c r="E2086" s="1097" t="s">
        <v>804</v>
      </c>
      <c r="F2086" s="1102"/>
      <c r="G2086" s="1102"/>
      <c r="H2086" s="1102"/>
      <c r="I2086" s="1102"/>
      <c r="J2086" s="1102"/>
      <c r="K2086" s="1102"/>
      <c r="L2086" s="1102"/>
      <c r="M2086" s="1102"/>
      <c r="N2086" s="1102"/>
      <c r="O2086" s="1103"/>
      <c r="P2086" s="940">
        <f>'[1]5.LO'!E276</f>
        <v>0</v>
      </c>
      <c r="Q2086" s="941"/>
      <c r="R2086" s="941"/>
      <c r="S2086" s="941"/>
      <c r="T2086" s="941"/>
      <c r="U2086" s="942"/>
      <c r="V2086" s="1082"/>
      <c r="W2086" s="614"/>
      <c r="X2086" s="614"/>
      <c r="Y2086" s="614"/>
      <c r="Z2086" s="614"/>
      <c r="AA2086" s="614"/>
      <c r="AB2086" s="614"/>
      <c r="AC2086" s="614"/>
      <c r="AD2086" s="614"/>
      <c r="AE2086" s="614"/>
    </row>
    <row r="2087" spans="1:31" s="20" customFormat="1" ht="14.25" customHeight="1">
      <c r="A2087" s="18"/>
      <c r="B2087" s="27"/>
      <c r="C2087" s="27"/>
      <c r="D2087" s="1006"/>
      <c r="E2087" s="1097" t="s">
        <v>805</v>
      </c>
      <c r="F2087" s="1102"/>
      <c r="G2087" s="1102"/>
      <c r="H2087" s="1102"/>
      <c r="I2087" s="1102"/>
      <c r="J2087" s="1102"/>
      <c r="K2087" s="1102"/>
      <c r="L2087" s="1102"/>
      <c r="M2087" s="1102"/>
      <c r="N2087" s="1102"/>
      <c r="O2087" s="1103"/>
      <c r="P2087" s="940">
        <f>'[1]5.LO'!E277</f>
        <v>0</v>
      </c>
      <c r="Q2087" s="941"/>
      <c r="R2087" s="941"/>
      <c r="S2087" s="941"/>
      <c r="T2087" s="941"/>
      <c r="U2087" s="942"/>
      <c r="V2087" s="1082"/>
      <c r="W2087" s="614"/>
      <c r="X2087" s="614"/>
      <c r="Y2087" s="614"/>
      <c r="Z2087" s="614"/>
      <c r="AA2087" s="614"/>
      <c r="AB2087" s="614"/>
      <c r="AC2087" s="614"/>
      <c r="AD2087" s="614"/>
      <c r="AE2087" s="614"/>
    </row>
    <row r="2088" spans="1:31" s="20" customFormat="1" ht="14.25" customHeight="1">
      <c r="A2088" s="18"/>
      <c r="B2088" s="27"/>
      <c r="C2088" s="27"/>
      <c r="D2088" s="1006"/>
      <c r="E2088" s="1097" t="s">
        <v>806</v>
      </c>
      <c r="F2088" s="1102"/>
      <c r="G2088" s="1102"/>
      <c r="H2088" s="1102"/>
      <c r="I2088" s="1102"/>
      <c r="J2088" s="1102"/>
      <c r="K2088" s="1102"/>
      <c r="L2088" s="1102"/>
      <c r="M2088" s="1102"/>
      <c r="N2088" s="1102"/>
      <c r="O2088" s="1103"/>
      <c r="P2088" s="940">
        <f>'[1]5.LO'!E278</f>
        <v>68934800</v>
      </c>
      <c r="Q2088" s="941"/>
      <c r="R2088" s="941"/>
      <c r="S2088" s="941"/>
      <c r="T2088" s="941"/>
      <c r="U2088" s="942"/>
      <c r="V2088" s="1082"/>
      <c r="W2088" s="614"/>
      <c r="X2088" s="614"/>
      <c r="Y2088" s="614"/>
      <c r="Z2088" s="614"/>
      <c r="AA2088" s="614"/>
      <c r="AB2088" s="614"/>
      <c r="AC2088" s="614"/>
      <c r="AD2088" s="614"/>
      <c r="AE2088" s="614"/>
    </row>
    <row r="2089" spans="1:31" s="20" customFormat="1" ht="14.25" customHeight="1">
      <c r="A2089" s="18"/>
      <c r="B2089" s="27"/>
      <c r="C2089" s="27"/>
      <c r="D2089" s="1006"/>
      <c r="E2089" s="1097" t="s">
        <v>807</v>
      </c>
      <c r="F2089" s="1102"/>
      <c r="G2089" s="1102"/>
      <c r="H2089" s="1102"/>
      <c r="I2089" s="1102"/>
      <c r="J2089" s="1102"/>
      <c r="K2089" s="1102"/>
      <c r="L2089" s="1102"/>
      <c r="M2089" s="1102"/>
      <c r="N2089" s="1102"/>
      <c r="O2089" s="1103"/>
      <c r="P2089" s="940">
        <f>'[1]5.LO'!E279</f>
        <v>0</v>
      </c>
      <c r="Q2089" s="941"/>
      <c r="R2089" s="941"/>
      <c r="S2089" s="941"/>
      <c r="T2089" s="941"/>
      <c r="U2089" s="942"/>
      <c r="V2089" s="1082"/>
      <c r="W2089" s="614"/>
      <c r="X2089" s="614"/>
      <c r="Y2089" s="614"/>
      <c r="Z2089" s="614"/>
      <c r="AA2089" s="614"/>
      <c r="AB2089" s="614"/>
      <c r="AC2089" s="614"/>
      <c r="AD2089" s="614"/>
      <c r="AE2089" s="614"/>
    </row>
    <row r="2090" spans="1:31" s="20" customFormat="1" ht="14.25" customHeight="1">
      <c r="A2090" s="18"/>
      <c r="B2090" s="27"/>
      <c r="C2090" s="27"/>
      <c r="D2090" s="1006"/>
      <c r="E2090" s="1097" t="s">
        <v>808</v>
      </c>
      <c r="F2090" s="1102"/>
      <c r="G2090" s="1102"/>
      <c r="H2090" s="1102"/>
      <c r="I2090" s="1102"/>
      <c r="J2090" s="1102"/>
      <c r="K2090" s="1102"/>
      <c r="L2090" s="1102"/>
      <c r="M2090" s="1102"/>
      <c r="N2090" s="1102"/>
      <c r="O2090" s="1103"/>
      <c r="P2090" s="940">
        <f>'[1]5.LO'!E280</f>
        <v>0</v>
      </c>
      <c r="Q2090" s="941"/>
      <c r="R2090" s="941"/>
      <c r="S2090" s="941"/>
      <c r="T2090" s="941"/>
      <c r="U2090" s="942"/>
      <c r="V2090" s="1082"/>
      <c r="W2090" s="614"/>
      <c r="X2090" s="614"/>
      <c r="Y2090" s="614"/>
      <c r="Z2090" s="614"/>
      <c r="AA2090" s="614"/>
      <c r="AB2090" s="614"/>
      <c r="AC2090" s="614"/>
      <c r="AD2090" s="614"/>
      <c r="AE2090" s="614"/>
    </row>
    <row r="2091" spans="1:31" s="20" customFormat="1" ht="22.5" customHeight="1">
      <c r="A2091" s="18"/>
      <c r="B2091" s="27"/>
      <c r="C2091" s="27"/>
      <c r="D2091" s="1006"/>
      <c r="E2091" s="1097" t="s">
        <v>809</v>
      </c>
      <c r="F2091" s="1102"/>
      <c r="G2091" s="1102"/>
      <c r="H2091" s="1102"/>
      <c r="I2091" s="1102"/>
      <c r="J2091" s="1102"/>
      <c r="K2091" s="1102"/>
      <c r="L2091" s="1102"/>
      <c r="M2091" s="1102"/>
      <c r="N2091" s="1102"/>
      <c r="O2091" s="1103"/>
      <c r="P2091" s="940">
        <f>'[1]5.LO'!E281</f>
        <v>0</v>
      </c>
      <c r="Q2091" s="941"/>
      <c r="R2091" s="941"/>
      <c r="S2091" s="941"/>
      <c r="T2091" s="941"/>
      <c r="U2091" s="942"/>
      <c r="V2091" s="1082"/>
      <c r="W2091" s="614"/>
      <c r="X2091" s="614"/>
      <c r="Y2091" s="614"/>
      <c r="Z2091" s="614"/>
      <c r="AA2091" s="614"/>
      <c r="AB2091" s="614"/>
      <c r="AC2091" s="614"/>
      <c r="AD2091" s="614"/>
      <c r="AE2091" s="614"/>
    </row>
    <row r="2092" spans="1:31" s="20" customFormat="1" ht="22.5" customHeight="1">
      <c r="A2092" s="18"/>
      <c r="B2092" s="27"/>
      <c r="C2092" s="27"/>
      <c r="D2092" s="1006"/>
      <c r="E2092" s="1097" t="s">
        <v>810</v>
      </c>
      <c r="F2092" s="1102"/>
      <c r="G2092" s="1102"/>
      <c r="H2092" s="1102"/>
      <c r="I2092" s="1102"/>
      <c r="J2092" s="1102"/>
      <c r="K2092" s="1102"/>
      <c r="L2092" s="1102"/>
      <c r="M2092" s="1102"/>
      <c r="N2092" s="1102"/>
      <c r="O2092" s="1103"/>
      <c r="P2092" s="940">
        <f>'[1]5.LO'!E282</f>
        <v>4454350000</v>
      </c>
      <c r="Q2092" s="941"/>
      <c r="R2092" s="941"/>
      <c r="S2092" s="941"/>
      <c r="T2092" s="941"/>
      <c r="U2092" s="942"/>
      <c r="V2092" s="1082"/>
      <c r="W2092" s="614"/>
      <c r="X2092" s="614"/>
      <c r="Y2092" s="614"/>
      <c r="Z2092" s="614"/>
      <c r="AA2092" s="614"/>
      <c r="AB2092" s="614"/>
      <c r="AC2092" s="614"/>
      <c r="AD2092" s="614"/>
      <c r="AE2092" s="614"/>
    </row>
    <row r="2093" spans="1:31" s="20" customFormat="1" ht="22.5" customHeight="1">
      <c r="A2093" s="18"/>
      <c r="B2093" s="27"/>
      <c r="C2093" s="27"/>
      <c r="D2093" s="1006"/>
      <c r="E2093" s="1097" t="s">
        <v>811</v>
      </c>
      <c r="F2093" s="1102"/>
      <c r="G2093" s="1102"/>
      <c r="H2093" s="1102"/>
      <c r="I2093" s="1102"/>
      <c r="J2093" s="1102"/>
      <c r="K2093" s="1102"/>
      <c r="L2093" s="1102"/>
      <c r="M2093" s="1102"/>
      <c r="N2093" s="1102"/>
      <c r="O2093" s="1103"/>
      <c r="P2093" s="940">
        <f>'[1]5.LO'!E283</f>
        <v>1104819000</v>
      </c>
      <c r="Q2093" s="941"/>
      <c r="R2093" s="941"/>
      <c r="S2093" s="941"/>
      <c r="T2093" s="941"/>
      <c r="U2093" s="942"/>
      <c r="V2093" s="1082"/>
      <c r="W2093" s="614"/>
      <c r="X2093" s="614"/>
      <c r="Y2093" s="614"/>
      <c r="Z2093" s="614"/>
      <c r="AA2093" s="614"/>
      <c r="AB2093" s="614"/>
      <c r="AC2093" s="614"/>
      <c r="AD2093" s="614"/>
      <c r="AE2093" s="614"/>
    </row>
    <row r="2094" spans="1:31" s="20" customFormat="1" ht="14.25" customHeight="1">
      <c r="A2094" s="18"/>
      <c r="B2094" s="27"/>
      <c r="C2094" s="27"/>
      <c r="D2094" s="1006"/>
      <c r="E2094" s="1097" t="s">
        <v>812</v>
      </c>
      <c r="F2094" s="1102"/>
      <c r="G2094" s="1102"/>
      <c r="H2094" s="1102"/>
      <c r="I2094" s="1102"/>
      <c r="J2094" s="1102"/>
      <c r="K2094" s="1102"/>
      <c r="L2094" s="1102"/>
      <c r="M2094" s="1102"/>
      <c r="N2094" s="1102"/>
      <c r="O2094" s="1103"/>
      <c r="P2094" s="940">
        <f>'[1]5.LO'!E284</f>
        <v>0</v>
      </c>
      <c r="Q2094" s="941"/>
      <c r="R2094" s="941"/>
      <c r="S2094" s="941"/>
      <c r="T2094" s="941"/>
      <c r="U2094" s="942"/>
      <c r="V2094" s="1082"/>
      <c r="W2094" s="614"/>
      <c r="X2094" s="614"/>
      <c r="Y2094" s="614"/>
      <c r="Z2094" s="614"/>
      <c r="AA2094" s="614"/>
      <c r="AB2094" s="614"/>
      <c r="AC2094" s="614"/>
      <c r="AD2094" s="614"/>
      <c r="AE2094" s="614"/>
    </row>
    <row r="2095" spans="1:31" s="20" customFormat="1" ht="14.25" customHeight="1">
      <c r="A2095" s="18"/>
      <c r="B2095" s="27"/>
      <c r="C2095" s="27"/>
      <c r="D2095" s="1006"/>
      <c r="E2095" s="1097" t="s">
        <v>813</v>
      </c>
      <c r="F2095" s="1102"/>
      <c r="G2095" s="1102"/>
      <c r="H2095" s="1102"/>
      <c r="I2095" s="1102"/>
      <c r="J2095" s="1102"/>
      <c r="K2095" s="1102"/>
      <c r="L2095" s="1102"/>
      <c r="M2095" s="1102"/>
      <c r="N2095" s="1102"/>
      <c r="O2095" s="1103"/>
      <c r="P2095" s="940">
        <f>'[1]5.LO'!E285</f>
        <v>0</v>
      </c>
      <c r="Q2095" s="941"/>
      <c r="R2095" s="941"/>
      <c r="S2095" s="941"/>
      <c r="T2095" s="941"/>
      <c r="U2095" s="942"/>
      <c r="V2095" s="1082"/>
      <c r="W2095" s="614"/>
      <c r="X2095" s="614"/>
      <c r="Y2095" s="614"/>
      <c r="Z2095" s="614"/>
      <c r="AA2095" s="614"/>
      <c r="AB2095" s="614"/>
      <c r="AC2095" s="614"/>
      <c r="AD2095" s="614"/>
      <c r="AE2095" s="614"/>
    </row>
    <row r="2096" spans="1:31" s="20" customFormat="1" ht="22.5" customHeight="1">
      <c r="A2096" s="18"/>
      <c r="B2096" s="27"/>
      <c r="C2096" s="27"/>
      <c r="D2096" s="1104"/>
      <c r="E2096" s="1097" t="s">
        <v>814</v>
      </c>
      <c r="F2096" s="1102"/>
      <c r="G2096" s="1102"/>
      <c r="H2096" s="1102"/>
      <c r="I2096" s="1102"/>
      <c r="J2096" s="1102"/>
      <c r="K2096" s="1102"/>
      <c r="L2096" s="1102"/>
      <c r="M2096" s="1102"/>
      <c r="N2096" s="1102"/>
      <c r="O2096" s="1103"/>
      <c r="P2096" s="940">
        <f>'[1]5.LO'!E286</f>
        <v>0</v>
      </c>
      <c r="Q2096" s="941"/>
      <c r="R2096" s="941"/>
      <c r="S2096" s="941"/>
      <c r="T2096" s="941"/>
      <c r="U2096" s="942"/>
      <c r="V2096" s="1082"/>
      <c r="W2096" s="614"/>
      <c r="X2096" s="614"/>
      <c r="Y2096" s="614"/>
      <c r="Z2096" s="614"/>
      <c r="AA2096" s="614"/>
      <c r="AB2096" s="614"/>
      <c r="AC2096" s="614"/>
      <c r="AD2096" s="614"/>
      <c r="AE2096" s="614"/>
    </row>
    <row r="2097" spans="1:31" s="20" customFormat="1" ht="14.25" customHeight="1">
      <c r="A2097" s="18"/>
      <c r="B2097" s="27"/>
      <c r="C2097" s="27"/>
      <c r="D2097" s="1104"/>
      <c r="E2097" s="1097" t="s">
        <v>815</v>
      </c>
      <c r="F2097" s="1102"/>
      <c r="G2097" s="1102"/>
      <c r="H2097" s="1102"/>
      <c r="I2097" s="1102"/>
      <c r="J2097" s="1102"/>
      <c r="K2097" s="1102"/>
      <c r="L2097" s="1102"/>
      <c r="M2097" s="1102"/>
      <c r="N2097" s="1102"/>
      <c r="O2097" s="1103"/>
      <c r="P2097" s="940">
        <f>'[1]5.LO'!E287</f>
        <v>0</v>
      </c>
      <c r="Q2097" s="941"/>
      <c r="R2097" s="941"/>
      <c r="S2097" s="941"/>
      <c r="T2097" s="941"/>
      <c r="U2097" s="942"/>
      <c r="V2097" s="1082"/>
      <c r="W2097" s="614"/>
      <c r="X2097" s="614"/>
      <c r="Y2097" s="614"/>
      <c r="Z2097" s="614"/>
      <c r="AA2097" s="614"/>
      <c r="AB2097" s="614"/>
      <c r="AC2097" s="614"/>
      <c r="AD2097" s="614"/>
      <c r="AE2097" s="614"/>
    </row>
    <row r="2098" spans="1:31" s="20" customFormat="1" ht="14.25" customHeight="1">
      <c r="A2098" s="18"/>
      <c r="B2098" s="27"/>
      <c r="C2098" s="27"/>
      <c r="D2098" s="1104"/>
      <c r="E2098" s="1097" t="s">
        <v>816</v>
      </c>
      <c r="F2098" s="1102"/>
      <c r="G2098" s="1102"/>
      <c r="H2098" s="1102"/>
      <c r="I2098" s="1102"/>
      <c r="J2098" s="1102"/>
      <c r="K2098" s="1102"/>
      <c r="L2098" s="1102"/>
      <c r="M2098" s="1102"/>
      <c r="N2098" s="1102"/>
      <c r="O2098" s="1103"/>
      <c r="P2098" s="940">
        <f>'[1]5.LO'!E288</f>
        <v>0</v>
      </c>
      <c r="Q2098" s="941"/>
      <c r="R2098" s="941"/>
      <c r="S2098" s="941"/>
      <c r="T2098" s="941"/>
      <c r="U2098" s="942"/>
      <c r="V2098" s="1082"/>
      <c r="W2098" s="614"/>
      <c r="X2098" s="614"/>
      <c r="Y2098" s="614"/>
      <c r="Z2098" s="614"/>
      <c r="AA2098" s="614"/>
      <c r="AB2098" s="614"/>
      <c r="AC2098" s="614"/>
      <c r="AD2098" s="614"/>
      <c r="AE2098" s="614"/>
    </row>
    <row r="2099" spans="1:31" s="20" customFormat="1" ht="22.5" customHeight="1">
      <c r="A2099" s="18"/>
      <c r="B2099" s="27"/>
      <c r="C2099" s="27"/>
      <c r="D2099" s="1104"/>
      <c r="E2099" s="1097" t="s">
        <v>817</v>
      </c>
      <c r="F2099" s="1102"/>
      <c r="G2099" s="1102"/>
      <c r="H2099" s="1102"/>
      <c r="I2099" s="1102"/>
      <c r="J2099" s="1102"/>
      <c r="K2099" s="1102"/>
      <c r="L2099" s="1102"/>
      <c r="M2099" s="1102"/>
      <c r="N2099" s="1102"/>
      <c r="O2099" s="1103"/>
      <c r="P2099" s="940">
        <f>'[1]5.LO'!E289</f>
        <v>0</v>
      </c>
      <c r="Q2099" s="941"/>
      <c r="R2099" s="941"/>
      <c r="S2099" s="941"/>
      <c r="T2099" s="941"/>
      <c r="U2099" s="942"/>
      <c r="V2099" s="1082"/>
      <c r="W2099" s="614"/>
      <c r="X2099" s="614"/>
      <c r="Y2099" s="614"/>
      <c r="Z2099" s="614"/>
      <c r="AA2099" s="614"/>
      <c r="AB2099" s="614"/>
      <c r="AC2099" s="614"/>
      <c r="AD2099" s="614"/>
      <c r="AE2099" s="614"/>
    </row>
    <row r="2100" spans="1:31" s="20" customFormat="1" ht="14.25" customHeight="1">
      <c r="A2100" s="18"/>
      <c r="B2100" s="27"/>
      <c r="C2100" s="27"/>
      <c r="D2100" s="1104"/>
      <c r="E2100" s="1097" t="s">
        <v>818</v>
      </c>
      <c r="F2100" s="1102"/>
      <c r="G2100" s="1102"/>
      <c r="H2100" s="1102"/>
      <c r="I2100" s="1102"/>
      <c r="J2100" s="1102"/>
      <c r="K2100" s="1102"/>
      <c r="L2100" s="1102"/>
      <c r="M2100" s="1102"/>
      <c r="N2100" s="1102"/>
      <c r="O2100" s="1103"/>
      <c r="P2100" s="940">
        <f>'[1]5.LO'!E290</f>
        <v>0</v>
      </c>
      <c r="Q2100" s="941"/>
      <c r="R2100" s="941"/>
      <c r="S2100" s="941"/>
      <c r="T2100" s="941"/>
      <c r="U2100" s="942"/>
      <c r="V2100" s="1082"/>
      <c r="W2100" s="614"/>
      <c r="X2100" s="614"/>
      <c r="Y2100" s="614"/>
      <c r="Z2100" s="614"/>
      <c r="AA2100" s="614"/>
      <c r="AB2100" s="614"/>
      <c r="AC2100" s="614"/>
      <c r="AD2100" s="614"/>
      <c r="AE2100" s="614"/>
    </row>
    <row r="2101" spans="1:31" s="20" customFormat="1" ht="14.25" customHeight="1">
      <c r="A2101" s="18"/>
      <c r="B2101" s="27"/>
      <c r="C2101" s="27"/>
      <c r="D2101" s="1104"/>
      <c r="E2101" s="1097" t="s">
        <v>819</v>
      </c>
      <c r="F2101" s="1102"/>
      <c r="G2101" s="1102"/>
      <c r="H2101" s="1102"/>
      <c r="I2101" s="1102"/>
      <c r="J2101" s="1102"/>
      <c r="K2101" s="1102"/>
      <c r="L2101" s="1102"/>
      <c r="M2101" s="1102"/>
      <c r="N2101" s="1102"/>
      <c r="O2101" s="1103"/>
      <c r="P2101" s="940">
        <f>'[1]5.LO'!E291</f>
        <v>0</v>
      </c>
      <c r="Q2101" s="941"/>
      <c r="R2101" s="941"/>
      <c r="S2101" s="941"/>
      <c r="T2101" s="941"/>
      <c r="U2101" s="942"/>
      <c r="V2101" s="1082"/>
      <c r="W2101" s="614"/>
      <c r="X2101" s="614"/>
      <c r="Y2101" s="614"/>
      <c r="Z2101" s="614"/>
      <c r="AA2101" s="614"/>
      <c r="AB2101" s="614"/>
      <c r="AC2101" s="614"/>
      <c r="AD2101" s="614"/>
      <c r="AE2101" s="614"/>
    </row>
    <row r="2102" spans="1:31" s="20" customFormat="1" ht="14.25" customHeight="1">
      <c r="A2102" s="18"/>
      <c r="B2102" s="27"/>
      <c r="C2102" s="27"/>
      <c r="D2102" s="1104"/>
      <c r="E2102" s="1097" t="s">
        <v>820</v>
      </c>
      <c r="F2102" s="1102"/>
      <c r="G2102" s="1102"/>
      <c r="H2102" s="1102"/>
      <c r="I2102" s="1102"/>
      <c r="J2102" s="1102"/>
      <c r="K2102" s="1102"/>
      <c r="L2102" s="1102"/>
      <c r="M2102" s="1102"/>
      <c r="N2102" s="1102"/>
      <c r="O2102" s="1103"/>
      <c r="P2102" s="940">
        <f>'[1]5.LO'!E292</f>
        <v>0</v>
      </c>
      <c r="Q2102" s="941"/>
      <c r="R2102" s="941"/>
      <c r="S2102" s="941"/>
      <c r="T2102" s="941"/>
      <c r="U2102" s="942"/>
      <c r="V2102" s="1082"/>
      <c r="W2102" s="614"/>
      <c r="X2102" s="614"/>
      <c r="Y2102" s="614"/>
      <c r="Z2102" s="614"/>
      <c r="AA2102" s="614"/>
      <c r="AB2102" s="614"/>
      <c r="AC2102" s="614"/>
      <c r="AD2102" s="614"/>
      <c r="AE2102" s="614"/>
    </row>
    <row r="2103" spans="1:31" s="20" customFormat="1" ht="14.25" customHeight="1">
      <c r="A2103" s="18"/>
      <c r="B2103" s="27"/>
      <c r="C2103" s="27"/>
      <c r="D2103" s="1104"/>
      <c r="E2103" s="1097" t="s">
        <v>821</v>
      </c>
      <c r="F2103" s="1102"/>
      <c r="G2103" s="1102"/>
      <c r="H2103" s="1102"/>
      <c r="I2103" s="1102"/>
      <c r="J2103" s="1102"/>
      <c r="K2103" s="1102"/>
      <c r="L2103" s="1102"/>
      <c r="M2103" s="1102"/>
      <c r="N2103" s="1102"/>
      <c r="O2103" s="1103"/>
      <c r="P2103" s="940">
        <f>'[1]5.LO'!E293</f>
        <v>0</v>
      </c>
      <c r="Q2103" s="941"/>
      <c r="R2103" s="941"/>
      <c r="S2103" s="941"/>
      <c r="T2103" s="941"/>
      <c r="U2103" s="942"/>
      <c r="V2103" s="1082"/>
      <c r="W2103" s="614"/>
      <c r="X2103" s="614"/>
      <c r="Y2103" s="614"/>
      <c r="Z2103" s="614"/>
      <c r="AA2103" s="614"/>
      <c r="AB2103" s="614"/>
      <c r="AC2103" s="614"/>
      <c r="AD2103" s="614"/>
      <c r="AE2103" s="614"/>
    </row>
    <row r="2104" spans="1:31" s="20" customFormat="1" ht="14.25" customHeight="1">
      <c r="A2104" s="18"/>
      <c r="B2104" s="27"/>
      <c r="C2104" s="27"/>
      <c r="D2104" s="1071" t="s">
        <v>822</v>
      </c>
      <c r="E2104" s="1093"/>
      <c r="F2104" s="1102"/>
      <c r="G2104" s="1102"/>
      <c r="H2104" s="1102"/>
      <c r="I2104" s="1102"/>
      <c r="J2104" s="1102"/>
      <c r="K2104" s="1102"/>
      <c r="L2104" s="1102"/>
      <c r="M2104" s="1102"/>
      <c r="N2104" s="1102"/>
      <c r="O2104" s="1103"/>
      <c r="P2104" s="994">
        <f>SUM(P2105:U2106)</f>
        <v>0</v>
      </c>
      <c r="Q2104" s="995"/>
      <c r="R2104" s="995"/>
      <c r="S2104" s="995"/>
      <c r="T2104" s="995"/>
      <c r="U2104" s="996"/>
      <c r="V2104" s="1082"/>
      <c r="W2104" s="614"/>
      <c r="X2104" s="614"/>
      <c r="Y2104" s="614"/>
      <c r="Z2104" s="614"/>
      <c r="AA2104" s="614"/>
      <c r="AB2104" s="614"/>
      <c r="AC2104" s="614"/>
      <c r="AD2104" s="614"/>
      <c r="AE2104" s="614"/>
    </row>
    <row r="2105" spans="1:31" s="20" customFormat="1" ht="14.25" customHeight="1">
      <c r="A2105" s="18"/>
      <c r="B2105" s="27"/>
      <c r="C2105" s="27"/>
      <c r="D2105" s="1104"/>
      <c r="E2105" s="1097" t="s">
        <v>823</v>
      </c>
      <c r="F2105" s="1102"/>
      <c r="G2105" s="1102"/>
      <c r="H2105" s="1102"/>
      <c r="I2105" s="1102"/>
      <c r="J2105" s="1102"/>
      <c r="K2105" s="1102"/>
      <c r="L2105" s="1102"/>
      <c r="M2105" s="1102"/>
      <c r="N2105" s="1102"/>
      <c r="O2105" s="1103"/>
      <c r="P2105" s="940">
        <f>'[1]5.LO'!E295</f>
        <v>0</v>
      </c>
      <c r="Q2105" s="941"/>
      <c r="R2105" s="941"/>
      <c r="S2105" s="941"/>
      <c r="T2105" s="941"/>
      <c r="U2105" s="942"/>
      <c r="V2105" s="1082"/>
      <c r="W2105" s="614"/>
      <c r="X2105" s="614"/>
      <c r="Y2105" s="614"/>
      <c r="Z2105" s="614"/>
      <c r="AA2105" s="614"/>
      <c r="AB2105" s="614"/>
      <c r="AC2105" s="614"/>
      <c r="AD2105" s="614"/>
      <c r="AE2105" s="614"/>
    </row>
    <row r="2106" spans="1:31" s="20" customFormat="1" ht="14.25" customHeight="1">
      <c r="A2106" s="18"/>
      <c r="B2106" s="27"/>
      <c r="C2106" s="27"/>
      <c r="D2106" s="1104"/>
      <c r="E2106" s="1097" t="s">
        <v>824</v>
      </c>
      <c r="F2106" s="1102"/>
      <c r="G2106" s="1102"/>
      <c r="H2106" s="1102"/>
      <c r="I2106" s="1102"/>
      <c r="J2106" s="1102"/>
      <c r="K2106" s="1102"/>
      <c r="L2106" s="1102"/>
      <c r="M2106" s="1102"/>
      <c r="N2106" s="1102"/>
      <c r="O2106" s="1103"/>
      <c r="P2106" s="940">
        <f>'[1]5.LO'!E296</f>
        <v>0</v>
      </c>
      <c r="Q2106" s="941"/>
      <c r="R2106" s="941"/>
      <c r="S2106" s="941"/>
      <c r="T2106" s="941"/>
      <c r="U2106" s="942"/>
      <c r="V2106" s="1082"/>
      <c r="W2106" s="614"/>
      <c r="X2106" s="614"/>
      <c r="Y2106" s="614"/>
      <c r="Z2106" s="614"/>
      <c r="AA2106" s="614"/>
      <c r="AB2106" s="614"/>
      <c r="AC2106" s="614"/>
      <c r="AD2106" s="614"/>
      <c r="AE2106" s="614"/>
    </row>
    <row r="2107" spans="1:31" s="20" customFormat="1" ht="14.25" customHeight="1">
      <c r="A2107" s="18"/>
      <c r="B2107" s="27"/>
      <c r="C2107" s="27"/>
      <c r="D2107" s="1071" t="s">
        <v>825</v>
      </c>
      <c r="E2107" s="1093"/>
      <c r="F2107" s="1102"/>
      <c r="G2107" s="1102"/>
      <c r="H2107" s="1102"/>
      <c r="I2107" s="1102"/>
      <c r="J2107" s="1102"/>
      <c r="K2107" s="1102"/>
      <c r="L2107" s="1102"/>
      <c r="M2107" s="1102"/>
      <c r="N2107" s="1102"/>
      <c r="O2107" s="1103"/>
      <c r="P2107" s="994">
        <f>SUM(P2108:U2112)</f>
        <v>0</v>
      </c>
      <c r="Q2107" s="995"/>
      <c r="R2107" s="995"/>
      <c r="S2107" s="995"/>
      <c r="T2107" s="995"/>
      <c r="U2107" s="996"/>
      <c r="V2107" s="1082"/>
      <c r="W2107" s="614"/>
      <c r="X2107" s="614"/>
      <c r="Y2107" s="614"/>
      <c r="Z2107" s="614"/>
      <c r="AA2107" s="614"/>
      <c r="AB2107" s="614"/>
      <c r="AC2107" s="614"/>
      <c r="AD2107" s="614"/>
      <c r="AE2107" s="614"/>
    </row>
    <row r="2108" spans="1:31" s="20" customFormat="1" ht="14.25" customHeight="1">
      <c r="A2108" s="18"/>
      <c r="B2108" s="27"/>
      <c r="C2108" s="27"/>
      <c r="D2108" s="1104"/>
      <c r="E2108" s="1097" t="s">
        <v>826</v>
      </c>
      <c r="F2108" s="1102"/>
      <c r="G2108" s="1102"/>
      <c r="H2108" s="1102"/>
      <c r="I2108" s="1102"/>
      <c r="J2108" s="1102"/>
      <c r="K2108" s="1102"/>
      <c r="L2108" s="1102"/>
      <c r="M2108" s="1102"/>
      <c r="N2108" s="1102"/>
      <c r="O2108" s="1103"/>
      <c r="P2108" s="940">
        <f>'[1]5.LO'!E298</f>
        <v>0</v>
      </c>
      <c r="Q2108" s="941"/>
      <c r="R2108" s="941"/>
      <c r="S2108" s="941"/>
      <c r="T2108" s="941"/>
      <c r="U2108" s="942"/>
      <c r="V2108" s="1082"/>
      <c r="W2108" s="614"/>
      <c r="X2108" s="614"/>
      <c r="Y2108" s="614"/>
      <c r="Z2108" s="614"/>
      <c r="AA2108" s="614"/>
      <c r="AB2108" s="614"/>
      <c r="AC2108" s="614"/>
      <c r="AD2108" s="614"/>
      <c r="AE2108" s="614"/>
    </row>
    <row r="2109" spans="1:31" s="20" customFormat="1" ht="14.25" customHeight="1">
      <c r="A2109" s="18"/>
      <c r="B2109" s="27"/>
      <c r="C2109" s="27"/>
      <c r="D2109" s="1104"/>
      <c r="E2109" s="1097" t="s">
        <v>827</v>
      </c>
      <c r="F2109" s="1102"/>
      <c r="G2109" s="1102"/>
      <c r="H2109" s="1102"/>
      <c r="I2109" s="1102"/>
      <c r="J2109" s="1102"/>
      <c r="K2109" s="1102"/>
      <c r="L2109" s="1102"/>
      <c r="M2109" s="1102"/>
      <c r="N2109" s="1102"/>
      <c r="O2109" s="1103"/>
      <c r="P2109" s="940">
        <f>'[1]5.LO'!E299</f>
        <v>0</v>
      </c>
      <c r="Q2109" s="941"/>
      <c r="R2109" s="941"/>
      <c r="S2109" s="941"/>
      <c r="T2109" s="941"/>
      <c r="U2109" s="942"/>
      <c r="V2109" s="1082"/>
      <c r="W2109" s="614"/>
      <c r="X2109" s="614"/>
      <c r="Y2109" s="614"/>
      <c r="Z2109" s="614"/>
      <c r="AA2109" s="614"/>
      <c r="AB2109" s="614"/>
      <c r="AC2109" s="614"/>
      <c r="AD2109" s="614"/>
      <c r="AE2109" s="614"/>
    </row>
    <row r="2110" spans="1:31" s="20" customFormat="1" ht="14.25" customHeight="1">
      <c r="A2110" s="18"/>
      <c r="B2110" s="27"/>
      <c r="C2110" s="27"/>
      <c r="D2110" s="1104"/>
      <c r="E2110" s="1097" t="s">
        <v>828</v>
      </c>
      <c r="F2110" s="1102"/>
      <c r="G2110" s="1102"/>
      <c r="H2110" s="1102"/>
      <c r="I2110" s="1102"/>
      <c r="J2110" s="1102"/>
      <c r="K2110" s="1102"/>
      <c r="L2110" s="1102"/>
      <c r="M2110" s="1102"/>
      <c r="N2110" s="1102"/>
      <c r="O2110" s="1103"/>
      <c r="P2110" s="940">
        <f>'[1]5.LO'!E300</f>
        <v>0</v>
      </c>
      <c r="Q2110" s="941"/>
      <c r="R2110" s="941"/>
      <c r="S2110" s="941"/>
      <c r="T2110" s="941"/>
      <c r="U2110" s="942"/>
      <c r="V2110" s="1082"/>
      <c r="W2110" s="614"/>
      <c r="X2110" s="614"/>
      <c r="Y2110" s="614"/>
      <c r="Z2110" s="614"/>
      <c r="AA2110" s="614"/>
      <c r="AB2110" s="614"/>
      <c r="AC2110" s="614"/>
      <c r="AD2110" s="614"/>
      <c r="AE2110" s="614"/>
    </row>
    <row r="2111" spans="1:31" s="20" customFormat="1" ht="14.25" customHeight="1">
      <c r="A2111" s="18"/>
      <c r="B2111" s="27"/>
      <c r="C2111" s="27"/>
      <c r="D2111" s="1104"/>
      <c r="E2111" s="1097" t="s">
        <v>829</v>
      </c>
      <c r="F2111" s="1102"/>
      <c r="G2111" s="1102"/>
      <c r="H2111" s="1102"/>
      <c r="I2111" s="1102"/>
      <c r="J2111" s="1102"/>
      <c r="K2111" s="1102"/>
      <c r="L2111" s="1102"/>
      <c r="M2111" s="1102"/>
      <c r="N2111" s="1102"/>
      <c r="O2111" s="1103"/>
      <c r="P2111" s="940">
        <f>'[1]5.LO'!E301</f>
        <v>0</v>
      </c>
      <c r="Q2111" s="941"/>
      <c r="R2111" s="941"/>
      <c r="S2111" s="941"/>
      <c r="T2111" s="941"/>
      <c r="U2111" s="942"/>
      <c r="V2111" s="1082"/>
      <c r="W2111" s="614"/>
      <c r="X2111" s="614"/>
      <c r="Y2111" s="614"/>
      <c r="Z2111" s="614"/>
      <c r="AA2111" s="614"/>
      <c r="AB2111" s="614"/>
      <c r="AC2111" s="614"/>
      <c r="AD2111" s="614"/>
      <c r="AE2111" s="614"/>
    </row>
    <row r="2112" spans="1:31" s="20" customFormat="1" ht="14.25" customHeight="1">
      <c r="A2112" s="18"/>
      <c r="B2112" s="27"/>
      <c r="C2112" s="27"/>
      <c r="D2112" s="1104"/>
      <c r="E2112" s="1097" t="s">
        <v>830</v>
      </c>
      <c r="F2112" s="1102"/>
      <c r="G2112" s="1102"/>
      <c r="H2112" s="1102"/>
      <c r="I2112" s="1102"/>
      <c r="J2112" s="1102"/>
      <c r="K2112" s="1102"/>
      <c r="L2112" s="1102"/>
      <c r="M2112" s="1102"/>
      <c r="N2112" s="1102"/>
      <c r="O2112" s="1103"/>
      <c r="P2112" s="940">
        <f>'[1]5.LO'!E302</f>
        <v>0</v>
      </c>
      <c r="Q2112" s="941"/>
      <c r="R2112" s="941"/>
      <c r="S2112" s="941"/>
      <c r="T2112" s="941"/>
      <c r="U2112" s="942"/>
      <c r="V2112" s="1082"/>
      <c r="W2112" s="614"/>
      <c r="X2112" s="614"/>
      <c r="Y2112" s="614"/>
      <c r="Z2112" s="614"/>
      <c r="AA2112" s="614"/>
      <c r="AB2112" s="614"/>
      <c r="AC2112" s="614"/>
      <c r="AD2112" s="614"/>
      <c r="AE2112" s="614"/>
    </row>
    <row r="2113" spans="1:31" s="20" customFormat="1" ht="14.25" customHeight="1">
      <c r="A2113" s="18"/>
      <c r="B2113" s="27"/>
      <c r="C2113" s="27"/>
      <c r="D2113" s="1071" t="s">
        <v>831</v>
      </c>
      <c r="E2113" s="1093"/>
      <c r="F2113" s="1102"/>
      <c r="G2113" s="1102"/>
      <c r="H2113" s="1102"/>
      <c r="I2113" s="1102"/>
      <c r="J2113" s="1102"/>
      <c r="K2113" s="1102"/>
      <c r="L2113" s="1102"/>
      <c r="M2113" s="1102"/>
      <c r="N2113" s="1102"/>
      <c r="O2113" s="1103"/>
      <c r="P2113" s="994">
        <f>SUM(P2114:U2115)</f>
        <v>20500000</v>
      </c>
      <c r="Q2113" s="995"/>
      <c r="R2113" s="995"/>
      <c r="S2113" s="995"/>
      <c r="T2113" s="995"/>
      <c r="U2113" s="996"/>
      <c r="V2113" s="1082"/>
      <c r="W2113" s="614"/>
      <c r="X2113" s="614"/>
      <c r="Y2113" s="614"/>
      <c r="Z2113" s="614"/>
      <c r="AA2113" s="614"/>
      <c r="AB2113" s="614"/>
      <c r="AC2113" s="614"/>
      <c r="AD2113" s="614"/>
      <c r="AE2113" s="614"/>
    </row>
    <row r="2114" spans="1:31" s="20" customFormat="1" ht="14.25" customHeight="1">
      <c r="A2114" s="18"/>
      <c r="B2114" s="27"/>
      <c r="C2114" s="27"/>
      <c r="D2114" s="1104"/>
      <c r="E2114" s="1097" t="s">
        <v>832</v>
      </c>
      <c r="F2114" s="1102"/>
      <c r="G2114" s="1102"/>
      <c r="H2114" s="1102"/>
      <c r="I2114" s="1102"/>
      <c r="J2114" s="1102"/>
      <c r="K2114" s="1102"/>
      <c r="L2114" s="1102"/>
      <c r="M2114" s="1102"/>
      <c r="N2114" s="1102"/>
      <c r="O2114" s="1103"/>
      <c r="P2114" s="940">
        <f>'[1]5.LO'!E304</f>
        <v>20500000</v>
      </c>
      <c r="Q2114" s="941"/>
      <c r="R2114" s="941"/>
      <c r="S2114" s="941"/>
      <c r="T2114" s="941"/>
      <c r="U2114" s="942"/>
      <c r="V2114" s="1082"/>
      <c r="W2114" s="614"/>
      <c r="X2114" s="614"/>
      <c r="Y2114" s="614"/>
      <c r="Z2114" s="614"/>
      <c r="AA2114" s="614"/>
      <c r="AB2114" s="614"/>
      <c r="AC2114" s="614"/>
      <c r="AD2114" s="614"/>
      <c r="AE2114" s="614"/>
    </row>
    <row r="2115" spans="1:31" s="20" customFormat="1" ht="14.25" customHeight="1">
      <c r="A2115" s="18"/>
      <c r="B2115" s="27"/>
      <c r="C2115" s="27"/>
      <c r="D2115" s="1104"/>
      <c r="E2115" s="1097" t="s">
        <v>833</v>
      </c>
      <c r="F2115" s="1102"/>
      <c r="G2115" s="1102"/>
      <c r="H2115" s="1102"/>
      <c r="I2115" s="1102"/>
      <c r="J2115" s="1102"/>
      <c r="K2115" s="1102"/>
      <c r="L2115" s="1102"/>
      <c r="M2115" s="1102"/>
      <c r="N2115" s="1102"/>
      <c r="O2115" s="1103"/>
      <c r="P2115" s="940">
        <f>'[1]5.LO'!E305</f>
        <v>0</v>
      </c>
      <c r="Q2115" s="941"/>
      <c r="R2115" s="941"/>
      <c r="S2115" s="941"/>
      <c r="T2115" s="941"/>
      <c r="U2115" s="942"/>
      <c r="V2115" s="1082"/>
      <c r="W2115" s="614"/>
      <c r="X2115" s="614"/>
      <c r="Y2115" s="614"/>
      <c r="Z2115" s="614"/>
      <c r="AA2115" s="614"/>
      <c r="AB2115" s="614"/>
      <c r="AC2115" s="614"/>
      <c r="AD2115" s="614"/>
      <c r="AE2115" s="614"/>
    </row>
    <row r="2116" spans="1:31" s="20" customFormat="1" ht="14.25" customHeight="1">
      <c r="A2116" s="18"/>
      <c r="B2116" s="27"/>
      <c r="C2116" s="27"/>
      <c r="D2116" s="1071" t="s">
        <v>834</v>
      </c>
      <c r="E2116" s="1093"/>
      <c r="F2116" s="1102"/>
      <c r="G2116" s="1102"/>
      <c r="H2116" s="1102"/>
      <c r="I2116" s="1102"/>
      <c r="J2116" s="1102"/>
      <c r="K2116" s="1102"/>
      <c r="L2116" s="1102"/>
      <c r="M2116" s="1102"/>
      <c r="N2116" s="1102"/>
      <c r="O2116" s="1103"/>
      <c r="P2116" s="994">
        <f>SUM(P2117:U2118)</f>
        <v>164935500</v>
      </c>
      <c r="Q2116" s="995"/>
      <c r="R2116" s="995"/>
      <c r="S2116" s="995"/>
      <c r="T2116" s="995"/>
      <c r="U2116" s="996"/>
      <c r="V2116" s="1082"/>
      <c r="W2116" s="614"/>
      <c r="X2116" s="614"/>
      <c r="Y2116" s="614"/>
      <c r="Z2116" s="614"/>
      <c r="AA2116" s="614"/>
      <c r="AB2116" s="614"/>
      <c r="AC2116" s="614"/>
      <c r="AD2116" s="614"/>
      <c r="AE2116" s="614"/>
    </row>
    <row r="2117" spans="1:31" s="20" customFormat="1" ht="14.25" customHeight="1">
      <c r="A2117" s="18"/>
      <c r="B2117" s="27"/>
      <c r="C2117" s="27"/>
      <c r="D2117" s="1104"/>
      <c r="E2117" s="1097" t="s">
        <v>835</v>
      </c>
      <c r="F2117" s="1102"/>
      <c r="G2117" s="1102"/>
      <c r="H2117" s="1102"/>
      <c r="I2117" s="1102"/>
      <c r="J2117" s="1102"/>
      <c r="K2117" s="1102"/>
      <c r="L2117" s="1102"/>
      <c r="M2117" s="1102"/>
      <c r="N2117" s="1102"/>
      <c r="O2117" s="1103"/>
      <c r="P2117" s="940">
        <f>'[1]5.LO'!E307</f>
        <v>0</v>
      </c>
      <c r="Q2117" s="941"/>
      <c r="R2117" s="941"/>
      <c r="S2117" s="941"/>
      <c r="T2117" s="941"/>
      <c r="U2117" s="942"/>
      <c r="V2117" s="1082"/>
      <c r="W2117" s="614"/>
      <c r="X2117" s="614"/>
      <c r="Y2117" s="614"/>
      <c r="Z2117" s="614"/>
      <c r="AA2117" s="614"/>
      <c r="AB2117" s="614"/>
      <c r="AC2117" s="614"/>
      <c r="AD2117" s="614"/>
      <c r="AE2117" s="614"/>
    </row>
    <row r="2118" spans="1:31" s="20" customFormat="1" ht="14.25" customHeight="1">
      <c r="A2118" s="18"/>
      <c r="B2118" s="27"/>
      <c r="C2118" s="27"/>
      <c r="D2118" s="1104"/>
      <c r="E2118" s="1097" t="s">
        <v>836</v>
      </c>
      <c r="F2118" s="1102"/>
      <c r="G2118" s="1102"/>
      <c r="H2118" s="1102"/>
      <c r="I2118" s="1102"/>
      <c r="J2118" s="1102"/>
      <c r="K2118" s="1102"/>
      <c r="L2118" s="1102"/>
      <c r="M2118" s="1102"/>
      <c r="N2118" s="1102"/>
      <c r="O2118" s="1103"/>
      <c r="P2118" s="940">
        <f>'[1]5.LO'!E308</f>
        <v>164935500</v>
      </c>
      <c r="Q2118" s="941"/>
      <c r="R2118" s="941"/>
      <c r="S2118" s="941"/>
      <c r="T2118" s="941"/>
      <c r="U2118" s="942"/>
      <c r="V2118" s="1082"/>
      <c r="W2118" s="614"/>
      <c r="X2118" s="614"/>
      <c r="Y2118" s="614"/>
      <c r="Z2118" s="614"/>
      <c r="AA2118" s="614"/>
      <c r="AB2118" s="614"/>
      <c r="AC2118" s="614"/>
      <c r="AD2118" s="614"/>
      <c r="AE2118" s="614"/>
    </row>
    <row r="2119" spans="1:31" s="20" customFormat="1" ht="14.25" customHeight="1">
      <c r="A2119" s="18"/>
      <c r="B2119" s="27"/>
      <c r="C2119" s="27"/>
      <c r="D2119" s="1071" t="s">
        <v>837</v>
      </c>
      <c r="E2119" s="1093"/>
      <c r="F2119" s="1102"/>
      <c r="G2119" s="1102"/>
      <c r="H2119" s="1102"/>
      <c r="I2119" s="1102"/>
      <c r="J2119" s="1102"/>
      <c r="K2119" s="1102"/>
      <c r="L2119" s="1102"/>
      <c r="M2119" s="1102"/>
      <c r="N2119" s="1102"/>
      <c r="O2119" s="1103"/>
      <c r="P2119" s="994">
        <f>SUM(P2120:U2130)</f>
        <v>9905000</v>
      </c>
      <c r="Q2119" s="995"/>
      <c r="R2119" s="995"/>
      <c r="S2119" s="995"/>
      <c r="T2119" s="995"/>
      <c r="U2119" s="996"/>
      <c r="V2119" s="1082"/>
      <c r="W2119" s="614"/>
      <c r="X2119" s="614"/>
      <c r="Y2119" s="614"/>
      <c r="Z2119" s="614"/>
      <c r="AA2119" s="614"/>
      <c r="AB2119" s="614"/>
      <c r="AC2119" s="614"/>
      <c r="AD2119" s="614"/>
      <c r="AE2119" s="614"/>
    </row>
    <row r="2120" spans="1:31" s="20" customFormat="1" ht="14.25" customHeight="1">
      <c r="A2120" s="18"/>
      <c r="B2120" s="27"/>
      <c r="C2120" s="27"/>
      <c r="D2120" s="1104"/>
      <c r="E2120" s="1097" t="s">
        <v>838</v>
      </c>
      <c r="F2120" s="1102"/>
      <c r="G2120" s="1102"/>
      <c r="H2120" s="1102"/>
      <c r="I2120" s="1102"/>
      <c r="J2120" s="1102"/>
      <c r="K2120" s="1102"/>
      <c r="L2120" s="1102"/>
      <c r="M2120" s="1102"/>
      <c r="N2120" s="1102"/>
      <c r="O2120" s="1103"/>
      <c r="P2120" s="940">
        <f>'[1]5.LO'!E310</f>
        <v>905000</v>
      </c>
      <c r="Q2120" s="941"/>
      <c r="R2120" s="941"/>
      <c r="S2120" s="941"/>
      <c r="T2120" s="941"/>
      <c r="U2120" s="942"/>
      <c r="V2120" s="1082"/>
      <c r="W2120" s="614"/>
      <c r="X2120" s="614"/>
      <c r="Y2120" s="614"/>
      <c r="Z2120" s="614"/>
      <c r="AA2120" s="614"/>
      <c r="AB2120" s="614"/>
      <c r="AC2120" s="614"/>
      <c r="AD2120" s="614"/>
      <c r="AE2120" s="614"/>
    </row>
    <row r="2121" spans="1:31" s="20" customFormat="1" ht="14.25" customHeight="1">
      <c r="A2121" s="18"/>
      <c r="B2121" s="27"/>
      <c r="C2121" s="27"/>
      <c r="D2121" s="1104"/>
      <c r="E2121" s="1097" t="s">
        <v>839</v>
      </c>
      <c r="F2121" s="1102"/>
      <c r="G2121" s="1102"/>
      <c r="H2121" s="1102"/>
      <c r="I2121" s="1102"/>
      <c r="J2121" s="1102"/>
      <c r="K2121" s="1102"/>
      <c r="L2121" s="1102"/>
      <c r="M2121" s="1102"/>
      <c r="N2121" s="1102"/>
      <c r="O2121" s="1103"/>
      <c r="P2121" s="940">
        <f>'[1]5.LO'!E311</f>
        <v>0</v>
      </c>
      <c r="Q2121" s="941"/>
      <c r="R2121" s="941"/>
      <c r="S2121" s="941"/>
      <c r="T2121" s="941"/>
      <c r="U2121" s="942"/>
      <c r="V2121" s="1082"/>
      <c r="W2121" s="614"/>
      <c r="X2121" s="614"/>
      <c r="Y2121" s="614"/>
      <c r="Z2121" s="614"/>
      <c r="AA2121" s="614"/>
      <c r="AB2121" s="614"/>
      <c r="AC2121" s="614"/>
      <c r="AD2121" s="614"/>
      <c r="AE2121" s="614"/>
    </row>
    <row r="2122" spans="1:31" s="20" customFormat="1" ht="14.25" customHeight="1">
      <c r="A2122" s="18"/>
      <c r="B2122" s="27"/>
      <c r="C2122" s="27"/>
      <c r="D2122" s="1104"/>
      <c r="E2122" s="1097" t="s">
        <v>840</v>
      </c>
      <c r="F2122" s="1102"/>
      <c r="G2122" s="1102"/>
      <c r="H2122" s="1102"/>
      <c r="I2122" s="1102"/>
      <c r="J2122" s="1102"/>
      <c r="K2122" s="1102"/>
      <c r="L2122" s="1102"/>
      <c r="M2122" s="1102"/>
      <c r="N2122" s="1102"/>
      <c r="O2122" s="1103"/>
      <c r="P2122" s="940">
        <f>'[1]5.LO'!E312</f>
        <v>0</v>
      </c>
      <c r="Q2122" s="941"/>
      <c r="R2122" s="941"/>
      <c r="S2122" s="941"/>
      <c r="T2122" s="941"/>
      <c r="U2122" s="942"/>
      <c r="V2122" s="1082"/>
      <c r="W2122" s="614"/>
      <c r="X2122" s="614"/>
      <c r="Y2122" s="614"/>
      <c r="Z2122" s="614"/>
      <c r="AA2122" s="614"/>
      <c r="AB2122" s="614"/>
      <c r="AC2122" s="614"/>
      <c r="AD2122" s="614"/>
      <c r="AE2122" s="614"/>
    </row>
    <row r="2123" spans="1:31" s="20" customFormat="1" ht="22.5" customHeight="1">
      <c r="A2123" s="18"/>
      <c r="B2123" s="27"/>
      <c r="C2123" s="27"/>
      <c r="D2123" s="1104"/>
      <c r="E2123" s="1097" t="s">
        <v>841</v>
      </c>
      <c r="F2123" s="1102"/>
      <c r="G2123" s="1102"/>
      <c r="H2123" s="1102"/>
      <c r="I2123" s="1102"/>
      <c r="J2123" s="1102"/>
      <c r="K2123" s="1102"/>
      <c r="L2123" s="1102"/>
      <c r="M2123" s="1102"/>
      <c r="N2123" s="1102"/>
      <c r="O2123" s="1103"/>
      <c r="P2123" s="940">
        <f>'[1]5.LO'!E313</f>
        <v>0</v>
      </c>
      <c r="Q2123" s="941"/>
      <c r="R2123" s="941"/>
      <c r="S2123" s="941"/>
      <c r="T2123" s="941"/>
      <c r="U2123" s="942"/>
      <c r="V2123" s="1082"/>
      <c r="W2123" s="614"/>
      <c r="X2123" s="614"/>
      <c r="Y2123" s="614"/>
      <c r="Z2123" s="614"/>
      <c r="AA2123" s="614"/>
      <c r="AB2123" s="614"/>
      <c r="AC2123" s="614"/>
      <c r="AD2123" s="614"/>
      <c r="AE2123" s="614"/>
    </row>
    <row r="2124" spans="1:31" s="20" customFormat="1" ht="14.25" customHeight="1">
      <c r="A2124" s="18"/>
      <c r="B2124" s="27"/>
      <c r="C2124" s="27"/>
      <c r="D2124" s="1104"/>
      <c r="E2124" s="1097" t="s">
        <v>842</v>
      </c>
      <c r="F2124" s="1102"/>
      <c r="G2124" s="1102"/>
      <c r="H2124" s="1102"/>
      <c r="I2124" s="1102"/>
      <c r="J2124" s="1102"/>
      <c r="K2124" s="1102"/>
      <c r="L2124" s="1102"/>
      <c r="M2124" s="1102"/>
      <c r="N2124" s="1102"/>
      <c r="O2124" s="1103"/>
      <c r="P2124" s="940">
        <f>'[1]5.LO'!E314</f>
        <v>6500000</v>
      </c>
      <c r="Q2124" s="941"/>
      <c r="R2124" s="941"/>
      <c r="S2124" s="941"/>
      <c r="T2124" s="941"/>
      <c r="U2124" s="942"/>
      <c r="V2124" s="1082"/>
      <c r="W2124" s="614"/>
      <c r="X2124" s="614"/>
      <c r="Y2124" s="614"/>
      <c r="Z2124" s="614"/>
      <c r="AA2124" s="614"/>
      <c r="AB2124" s="614"/>
      <c r="AC2124" s="614"/>
      <c r="AD2124" s="614"/>
      <c r="AE2124" s="614"/>
    </row>
    <row r="2125" spans="1:31" s="20" customFormat="1" ht="14.25" customHeight="1">
      <c r="A2125" s="18"/>
      <c r="B2125" s="27"/>
      <c r="C2125" s="27"/>
      <c r="D2125" s="1104"/>
      <c r="E2125" s="1097" t="s">
        <v>843</v>
      </c>
      <c r="F2125" s="1102"/>
      <c r="G2125" s="1102"/>
      <c r="H2125" s="1102"/>
      <c r="I2125" s="1102"/>
      <c r="J2125" s="1102"/>
      <c r="K2125" s="1102"/>
      <c r="L2125" s="1102"/>
      <c r="M2125" s="1102"/>
      <c r="N2125" s="1102"/>
      <c r="O2125" s="1103"/>
      <c r="P2125" s="940">
        <f>'[1]5.LO'!E315</f>
        <v>0</v>
      </c>
      <c r="Q2125" s="941"/>
      <c r="R2125" s="941"/>
      <c r="S2125" s="941"/>
      <c r="T2125" s="941"/>
      <c r="U2125" s="942"/>
      <c r="V2125" s="1082"/>
      <c r="W2125" s="614"/>
      <c r="X2125" s="614"/>
      <c r="Y2125" s="614"/>
      <c r="Z2125" s="614"/>
      <c r="AA2125" s="614"/>
      <c r="AB2125" s="614"/>
      <c r="AC2125" s="614"/>
      <c r="AD2125" s="614"/>
      <c r="AE2125" s="614"/>
    </row>
    <row r="2126" spans="1:31" s="20" customFormat="1" ht="14.25" customHeight="1">
      <c r="A2126" s="18"/>
      <c r="B2126" s="27"/>
      <c r="C2126" s="27"/>
      <c r="D2126" s="1104"/>
      <c r="E2126" s="1097" t="s">
        <v>844</v>
      </c>
      <c r="F2126" s="1102"/>
      <c r="G2126" s="1102"/>
      <c r="H2126" s="1102"/>
      <c r="I2126" s="1102"/>
      <c r="J2126" s="1102"/>
      <c r="K2126" s="1102"/>
      <c r="L2126" s="1102"/>
      <c r="M2126" s="1102"/>
      <c r="N2126" s="1102"/>
      <c r="O2126" s="1103"/>
      <c r="P2126" s="940">
        <f>'[1]5.LO'!E316</f>
        <v>2500000</v>
      </c>
      <c r="Q2126" s="941"/>
      <c r="R2126" s="941"/>
      <c r="S2126" s="941"/>
      <c r="T2126" s="941"/>
      <c r="U2126" s="942"/>
      <c r="V2126" s="1082"/>
      <c r="W2126" s="614"/>
      <c r="X2126" s="614"/>
      <c r="Y2126" s="614"/>
      <c r="Z2126" s="614"/>
      <c r="AA2126" s="614"/>
      <c r="AB2126" s="614"/>
      <c r="AC2126" s="614"/>
      <c r="AD2126" s="614"/>
      <c r="AE2126" s="614"/>
    </row>
    <row r="2127" spans="1:31" s="20" customFormat="1" ht="14.25" customHeight="1">
      <c r="A2127" s="18"/>
      <c r="B2127" s="27"/>
      <c r="C2127" s="27"/>
      <c r="D2127" s="1104"/>
      <c r="E2127" s="1097" t="s">
        <v>845</v>
      </c>
      <c r="F2127" s="1102"/>
      <c r="G2127" s="1102"/>
      <c r="H2127" s="1102"/>
      <c r="I2127" s="1102"/>
      <c r="J2127" s="1102"/>
      <c r="K2127" s="1102"/>
      <c r="L2127" s="1102"/>
      <c r="M2127" s="1102"/>
      <c r="N2127" s="1102"/>
      <c r="O2127" s="1103"/>
      <c r="P2127" s="940">
        <f>'[1]5.LO'!E317</f>
        <v>0</v>
      </c>
      <c r="Q2127" s="941"/>
      <c r="R2127" s="941"/>
      <c r="S2127" s="941"/>
      <c r="T2127" s="941"/>
      <c r="U2127" s="942"/>
      <c r="V2127" s="1082"/>
      <c r="W2127" s="614"/>
      <c r="X2127" s="614"/>
      <c r="Y2127" s="614"/>
      <c r="Z2127" s="614"/>
      <c r="AA2127" s="614"/>
      <c r="AB2127" s="614"/>
      <c r="AC2127" s="614"/>
      <c r="AD2127" s="614"/>
      <c r="AE2127" s="614"/>
    </row>
    <row r="2128" spans="1:31" s="20" customFormat="1" ht="14.25" customHeight="1">
      <c r="A2128" s="18"/>
      <c r="B2128" s="27"/>
      <c r="C2128" s="27"/>
      <c r="D2128" s="1104"/>
      <c r="E2128" s="1097" t="s">
        <v>846</v>
      </c>
      <c r="F2128" s="1102"/>
      <c r="G2128" s="1102"/>
      <c r="H2128" s="1102"/>
      <c r="I2128" s="1102"/>
      <c r="J2128" s="1102"/>
      <c r="K2128" s="1102"/>
      <c r="L2128" s="1102"/>
      <c r="M2128" s="1102"/>
      <c r="N2128" s="1102"/>
      <c r="O2128" s="1103"/>
      <c r="P2128" s="940">
        <f>'[1]5.LO'!E318</f>
        <v>0</v>
      </c>
      <c r="Q2128" s="941"/>
      <c r="R2128" s="941"/>
      <c r="S2128" s="941"/>
      <c r="T2128" s="941"/>
      <c r="U2128" s="942"/>
      <c r="V2128" s="1082"/>
      <c r="W2128" s="614"/>
      <c r="X2128" s="614"/>
      <c r="Y2128" s="614"/>
      <c r="Z2128" s="614"/>
      <c r="AA2128" s="614"/>
      <c r="AB2128" s="614"/>
      <c r="AC2128" s="614"/>
      <c r="AD2128" s="614"/>
      <c r="AE2128" s="614"/>
    </row>
    <row r="2129" spans="1:31" s="20" customFormat="1" ht="14.25" customHeight="1">
      <c r="A2129" s="18"/>
      <c r="B2129" s="27"/>
      <c r="C2129" s="27"/>
      <c r="D2129" s="1104"/>
      <c r="E2129" s="1097" t="s">
        <v>847</v>
      </c>
      <c r="F2129" s="1102"/>
      <c r="G2129" s="1102"/>
      <c r="H2129" s="1102"/>
      <c r="I2129" s="1102"/>
      <c r="J2129" s="1102"/>
      <c r="K2129" s="1102"/>
      <c r="L2129" s="1102"/>
      <c r="M2129" s="1102"/>
      <c r="N2129" s="1102"/>
      <c r="O2129" s="1103"/>
      <c r="P2129" s="940">
        <f>'[1]5.LO'!E319</f>
        <v>0</v>
      </c>
      <c r="Q2129" s="941"/>
      <c r="R2129" s="941"/>
      <c r="S2129" s="941"/>
      <c r="T2129" s="941"/>
      <c r="U2129" s="942"/>
      <c r="V2129" s="1082"/>
      <c r="W2129" s="614"/>
      <c r="X2129" s="614"/>
      <c r="Y2129" s="614"/>
      <c r="Z2129" s="614"/>
      <c r="AA2129" s="614"/>
      <c r="AB2129" s="614"/>
      <c r="AC2129" s="614"/>
      <c r="AD2129" s="614"/>
      <c r="AE2129" s="614"/>
    </row>
    <row r="2130" spans="1:31" s="20" customFormat="1" ht="14.25" customHeight="1">
      <c r="A2130" s="18"/>
      <c r="B2130" s="27"/>
      <c r="C2130" s="27"/>
      <c r="D2130" s="1104"/>
      <c r="E2130" s="1097" t="s">
        <v>848</v>
      </c>
      <c r="F2130" s="1102"/>
      <c r="G2130" s="1102"/>
      <c r="H2130" s="1102"/>
      <c r="I2130" s="1102"/>
      <c r="J2130" s="1102"/>
      <c r="K2130" s="1102"/>
      <c r="L2130" s="1102"/>
      <c r="M2130" s="1102"/>
      <c r="N2130" s="1102"/>
      <c r="O2130" s="1103"/>
      <c r="P2130" s="940">
        <f>'[1]5.LO'!E320</f>
        <v>0</v>
      </c>
      <c r="Q2130" s="941"/>
      <c r="R2130" s="941"/>
      <c r="S2130" s="941"/>
      <c r="T2130" s="941"/>
      <c r="U2130" s="942"/>
      <c r="V2130" s="1082"/>
      <c r="W2130" s="614"/>
      <c r="X2130" s="614"/>
      <c r="Y2130" s="614"/>
      <c r="Z2130" s="614"/>
      <c r="AA2130" s="614"/>
      <c r="AB2130" s="614"/>
      <c r="AC2130" s="614"/>
      <c r="AD2130" s="614"/>
      <c r="AE2130" s="614"/>
    </row>
    <row r="2131" spans="1:31" s="20" customFormat="1" ht="14.25" customHeight="1">
      <c r="A2131" s="18"/>
      <c r="B2131" s="27"/>
      <c r="C2131" s="27"/>
      <c r="D2131" s="1071" t="s">
        <v>849</v>
      </c>
      <c r="E2131" s="1093"/>
      <c r="F2131" s="1102"/>
      <c r="G2131" s="1102"/>
      <c r="H2131" s="1102"/>
      <c r="I2131" s="1102"/>
      <c r="J2131" s="1102"/>
      <c r="K2131" s="1102"/>
      <c r="L2131" s="1102"/>
      <c r="M2131" s="1102"/>
      <c r="N2131" s="1102"/>
      <c r="O2131" s="1103"/>
      <c r="P2131" s="994">
        <f>SUM(P2132:U2137)</f>
        <v>123524000</v>
      </c>
      <c r="Q2131" s="995"/>
      <c r="R2131" s="995"/>
      <c r="S2131" s="995"/>
      <c r="T2131" s="995"/>
      <c r="U2131" s="996"/>
      <c r="V2131" s="1082"/>
      <c r="W2131" s="614"/>
      <c r="X2131" s="614"/>
      <c r="Y2131" s="614"/>
      <c r="Z2131" s="614"/>
      <c r="AA2131" s="614"/>
      <c r="AB2131" s="614"/>
      <c r="AC2131" s="614"/>
      <c r="AD2131" s="614"/>
      <c r="AE2131" s="614"/>
    </row>
    <row r="2132" spans="1:31" s="20" customFormat="1" ht="14.25" customHeight="1">
      <c r="A2132" s="18"/>
      <c r="B2132" s="27"/>
      <c r="C2132" s="27"/>
      <c r="D2132" s="1104"/>
      <c r="E2132" s="1097" t="s">
        <v>850</v>
      </c>
      <c r="F2132" s="1102"/>
      <c r="G2132" s="1102"/>
      <c r="H2132" s="1102"/>
      <c r="I2132" s="1102"/>
      <c r="J2132" s="1102"/>
      <c r="K2132" s="1102"/>
      <c r="L2132" s="1102"/>
      <c r="M2132" s="1102"/>
      <c r="N2132" s="1102"/>
      <c r="O2132" s="1103"/>
      <c r="P2132" s="940">
        <f>'[1]5.LO'!E322</f>
        <v>0</v>
      </c>
      <c r="Q2132" s="941"/>
      <c r="R2132" s="941"/>
      <c r="S2132" s="941"/>
      <c r="T2132" s="941"/>
      <c r="U2132" s="942"/>
      <c r="V2132" s="1082"/>
      <c r="W2132" s="614"/>
      <c r="X2132" s="614"/>
      <c r="Y2132" s="614"/>
      <c r="Z2132" s="614"/>
      <c r="AA2132" s="614"/>
      <c r="AB2132" s="614"/>
      <c r="AC2132" s="614"/>
      <c r="AD2132" s="614"/>
      <c r="AE2132" s="614"/>
    </row>
    <row r="2133" spans="1:31" s="20" customFormat="1" ht="14.25" customHeight="1">
      <c r="A2133" s="18"/>
      <c r="B2133" s="27"/>
      <c r="C2133" s="27"/>
      <c r="D2133" s="1104"/>
      <c r="E2133" s="1097" t="s">
        <v>851</v>
      </c>
      <c r="F2133" s="1102"/>
      <c r="G2133" s="1102"/>
      <c r="H2133" s="1102"/>
      <c r="I2133" s="1102"/>
      <c r="J2133" s="1102"/>
      <c r="K2133" s="1102"/>
      <c r="L2133" s="1102"/>
      <c r="M2133" s="1102"/>
      <c r="N2133" s="1102"/>
      <c r="O2133" s="1103"/>
      <c r="P2133" s="940">
        <f>'[1]5.LO'!E323</f>
        <v>79283000</v>
      </c>
      <c r="Q2133" s="941"/>
      <c r="R2133" s="941"/>
      <c r="S2133" s="941"/>
      <c r="T2133" s="941"/>
      <c r="U2133" s="942"/>
      <c r="V2133" s="1082"/>
      <c r="W2133" s="614"/>
      <c r="X2133" s="614"/>
      <c r="Y2133" s="614"/>
      <c r="Z2133" s="614"/>
      <c r="AA2133" s="614"/>
      <c r="AB2133" s="614"/>
      <c r="AC2133" s="614"/>
      <c r="AD2133" s="614"/>
      <c r="AE2133" s="614"/>
    </row>
    <row r="2134" spans="1:31" s="20" customFormat="1" ht="14.25" customHeight="1">
      <c r="A2134" s="18"/>
      <c r="B2134" s="27"/>
      <c r="C2134" s="27"/>
      <c r="D2134" s="1104"/>
      <c r="E2134" s="1097" t="s">
        <v>852</v>
      </c>
      <c r="F2134" s="1102"/>
      <c r="G2134" s="1102"/>
      <c r="H2134" s="1102"/>
      <c r="I2134" s="1102"/>
      <c r="J2134" s="1102"/>
      <c r="K2134" s="1102"/>
      <c r="L2134" s="1102"/>
      <c r="M2134" s="1102"/>
      <c r="N2134" s="1102"/>
      <c r="O2134" s="1103"/>
      <c r="P2134" s="940">
        <f>'[1]5.LO'!E324</f>
        <v>2325000</v>
      </c>
      <c r="Q2134" s="941"/>
      <c r="R2134" s="941"/>
      <c r="S2134" s="941"/>
      <c r="T2134" s="941"/>
      <c r="U2134" s="942"/>
      <c r="V2134" s="1082"/>
      <c r="W2134" s="614"/>
      <c r="X2134" s="614"/>
      <c r="Y2134" s="614"/>
      <c r="Z2134" s="614"/>
      <c r="AA2134" s="614"/>
      <c r="AB2134" s="614"/>
      <c r="AC2134" s="614"/>
      <c r="AD2134" s="614"/>
      <c r="AE2134" s="614"/>
    </row>
    <row r="2135" spans="1:31" s="20" customFormat="1" ht="14.25" customHeight="1">
      <c r="A2135" s="18"/>
      <c r="B2135" s="27"/>
      <c r="C2135" s="27"/>
      <c r="D2135" s="1104"/>
      <c r="E2135" s="1097" t="s">
        <v>853</v>
      </c>
      <c r="F2135" s="1102"/>
      <c r="G2135" s="1102"/>
      <c r="H2135" s="1102"/>
      <c r="I2135" s="1102"/>
      <c r="J2135" s="1102"/>
      <c r="K2135" s="1102"/>
      <c r="L2135" s="1102"/>
      <c r="M2135" s="1102"/>
      <c r="N2135" s="1102"/>
      <c r="O2135" s="1103"/>
      <c r="P2135" s="940">
        <f>'[1]5.LO'!E325</f>
        <v>0</v>
      </c>
      <c r="Q2135" s="941"/>
      <c r="R2135" s="941"/>
      <c r="S2135" s="941"/>
      <c r="T2135" s="941"/>
      <c r="U2135" s="942"/>
      <c r="V2135" s="1082"/>
      <c r="W2135" s="614"/>
      <c r="X2135" s="614"/>
      <c r="Y2135" s="614"/>
      <c r="Z2135" s="614"/>
      <c r="AA2135" s="614"/>
      <c r="AB2135" s="614"/>
      <c r="AC2135" s="614"/>
      <c r="AD2135" s="614"/>
      <c r="AE2135" s="614"/>
    </row>
    <row r="2136" spans="1:31" s="20" customFormat="1" ht="14.25" customHeight="1">
      <c r="A2136" s="18"/>
      <c r="B2136" s="27"/>
      <c r="C2136" s="27"/>
      <c r="D2136" s="1104"/>
      <c r="E2136" s="1097" t="s">
        <v>854</v>
      </c>
      <c r="F2136" s="1102"/>
      <c r="G2136" s="1102"/>
      <c r="H2136" s="1102"/>
      <c r="I2136" s="1102"/>
      <c r="J2136" s="1102"/>
      <c r="K2136" s="1102"/>
      <c r="L2136" s="1102"/>
      <c r="M2136" s="1102"/>
      <c r="N2136" s="1102"/>
      <c r="O2136" s="1103"/>
      <c r="P2136" s="940">
        <f>'[1]5.LO'!E326</f>
        <v>41916000</v>
      </c>
      <c r="Q2136" s="941"/>
      <c r="R2136" s="941"/>
      <c r="S2136" s="941"/>
      <c r="T2136" s="941"/>
      <c r="U2136" s="942"/>
      <c r="V2136" s="1082"/>
      <c r="W2136" s="614"/>
      <c r="X2136" s="614"/>
      <c r="Y2136" s="614"/>
      <c r="Z2136" s="614"/>
      <c r="AA2136" s="614"/>
      <c r="AB2136" s="614"/>
      <c r="AC2136" s="614"/>
      <c r="AD2136" s="614"/>
      <c r="AE2136" s="614"/>
    </row>
    <row r="2137" spans="1:31" s="20" customFormat="1" ht="14.25" customHeight="1">
      <c r="A2137" s="18"/>
      <c r="B2137" s="27"/>
      <c r="C2137" s="27"/>
      <c r="D2137" s="1104"/>
      <c r="E2137" s="1097" t="s">
        <v>855</v>
      </c>
      <c r="F2137" s="1102"/>
      <c r="G2137" s="1102"/>
      <c r="H2137" s="1102"/>
      <c r="I2137" s="1102"/>
      <c r="J2137" s="1102"/>
      <c r="K2137" s="1102"/>
      <c r="L2137" s="1102"/>
      <c r="M2137" s="1102"/>
      <c r="N2137" s="1102"/>
      <c r="O2137" s="1103"/>
      <c r="P2137" s="940">
        <f>'[1]5.LO'!E327</f>
        <v>0</v>
      </c>
      <c r="Q2137" s="941"/>
      <c r="R2137" s="941"/>
      <c r="S2137" s="941"/>
      <c r="T2137" s="941"/>
      <c r="U2137" s="942"/>
      <c r="V2137" s="1082"/>
      <c r="W2137" s="614"/>
      <c r="X2137" s="614"/>
      <c r="Y2137" s="614"/>
      <c r="Z2137" s="614"/>
      <c r="AA2137" s="614"/>
      <c r="AB2137" s="614"/>
      <c r="AC2137" s="614"/>
      <c r="AD2137" s="614"/>
      <c r="AE2137" s="614"/>
    </row>
    <row r="2138" spans="1:31" s="20" customFormat="1" ht="14.25" customHeight="1">
      <c r="A2138" s="18"/>
      <c r="B2138" s="27"/>
      <c r="C2138" s="27"/>
      <c r="D2138" s="1071" t="s">
        <v>856</v>
      </c>
      <c r="E2138" s="1093"/>
      <c r="F2138" s="1102"/>
      <c r="G2138" s="1102"/>
      <c r="H2138" s="1102"/>
      <c r="I2138" s="1102"/>
      <c r="J2138" s="1102"/>
      <c r="K2138" s="1102"/>
      <c r="L2138" s="1102"/>
      <c r="M2138" s="1102"/>
      <c r="N2138" s="1102"/>
      <c r="O2138" s="1103"/>
      <c r="P2138" s="994">
        <f>SUM(P2139:U2144)</f>
        <v>0</v>
      </c>
      <c r="Q2138" s="995"/>
      <c r="R2138" s="995"/>
      <c r="S2138" s="995"/>
      <c r="T2138" s="995"/>
      <c r="U2138" s="996"/>
      <c r="V2138" s="1082"/>
      <c r="W2138" s="614"/>
      <c r="X2138" s="614"/>
      <c r="Y2138" s="614"/>
      <c r="Z2138" s="614"/>
      <c r="AA2138" s="614"/>
      <c r="AB2138" s="614"/>
      <c r="AC2138" s="614"/>
      <c r="AD2138" s="614"/>
      <c r="AE2138" s="614"/>
    </row>
    <row r="2139" spans="1:31" s="20" customFormat="1" ht="14.25" customHeight="1">
      <c r="A2139" s="18"/>
      <c r="B2139" s="27"/>
      <c r="C2139" s="27"/>
      <c r="D2139" s="1104"/>
      <c r="E2139" s="1097" t="s">
        <v>857</v>
      </c>
      <c r="F2139" s="1102"/>
      <c r="G2139" s="1102"/>
      <c r="H2139" s="1102"/>
      <c r="I2139" s="1102"/>
      <c r="J2139" s="1102"/>
      <c r="K2139" s="1102"/>
      <c r="L2139" s="1102"/>
      <c r="M2139" s="1102"/>
      <c r="N2139" s="1102"/>
      <c r="O2139" s="1103"/>
      <c r="P2139" s="940">
        <f>'[1]5.LO'!E329</f>
        <v>0</v>
      </c>
      <c r="Q2139" s="941"/>
      <c r="R2139" s="941"/>
      <c r="S2139" s="941"/>
      <c r="T2139" s="941"/>
      <c r="U2139" s="942"/>
      <c r="V2139" s="1082"/>
      <c r="W2139" s="614"/>
      <c r="X2139" s="614"/>
      <c r="Y2139" s="614"/>
      <c r="Z2139" s="614"/>
      <c r="AA2139" s="614"/>
      <c r="AB2139" s="614"/>
      <c r="AC2139" s="614"/>
      <c r="AD2139" s="614"/>
      <c r="AE2139" s="614"/>
    </row>
    <row r="2140" spans="1:31" s="20" customFormat="1" ht="14.25" customHeight="1">
      <c r="A2140" s="18"/>
      <c r="B2140" s="27"/>
      <c r="C2140" s="27"/>
      <c r="D2140" s="1104"/>
      <c r="E2140" s="1097" t="s">
        <v>858</v>
      </c>
      <c r="F2140" s="1102"/>
      <c r="G2140" s="1102"/>
      <c r="H2140" s="1102"/>
      <c r="I2140" s="1102"/>
      <c r="J2140" s="1102"/>
      <c r="K2140" s="1102"/>
      <c r="L2140" s="1102"/>
      <c r="M2140" s="1102"/>
      <c r="N2140" s="1102"/>
      <c r="O2140" s="1103"/>
      <c r="P2140" s="940">
        <f>'[1]5.LO'!E330</f>
        <v>0</v>
      </c>
      <c r="Q2140" s="941"/>
      <c r="R2140" s="941"/>
      <c r="S2140" s="941"/>
      <c r="T2140" s="941"/>
      <c r="U2140" s="942"/>
      <c r="V2140" s="1082"/>
      <c r="W2140" s="614"/>
      <c r="X2140" s="614"/>
      <c r="Y2140" s="614"/>
      <c r="Z2140" s="614"/>
      <c r="AA2140" s="614"/>
      <c r="AB2140" s="614"/>
      <c r="AC2140" s="614"/>
      <c r="AD2140" s="614"/>
      <c r="AE2140" s="614"/>
    </row>
    <row r="2141" spans="1:31" s="20" customFormat="1" ht="14.25" customHeight="1">
      <c r="A2141" s="18"/>
      <c r="B2141" s="27"/>
      <c r="C2141" s="27"/>
      <c r="D2141" s="1104"/>
      <c r="E2141" s="1097" t="s">
        <v>859</v>
      </c>
      <c r="F2141" s="1102"/>
      <c r="G2141" s="1102"/>
      <c r="H2141" s="1102"/>
      <c r="I2141" s="1102"/>
      <c r="J2141" s="1102"/>
      <c r="K2141" s="1102"/>
      <c r="L2141" s="1102"/>
      <c r="M2141" s="1102"/>
      <c r="N2141" s="1102"/>
      <c r="O2141" s="1103"/>
      <c r="P2141" s="940">
        <f>'[1]5.LO'!E331</f>
        <v>0</v>
      </c>
      <c r="Q2141" s="941"/>
      <c r="R2141" s="941"/>
      <c r="S2141" s="941"/>
      <c r="T2141" s="941"/>
      <c r="U2141" s="942"/>
      <c r="V2141" s="1082"/>
      <c r="W2141" s="614"/>
      <c r="X2141" s="614"/>
      <c r="Y2141" s="614"/>
      <c r="Z2141" s="614"/>
      <c r="AA2141" s="614"/>
      <c r="AB2141" s="614"/>
      <c r="AC2141" s="614"/>
      <c r="AD2141" s="614"/>
      <c r="AE2141" s="614"/>
    </row>
    <row r="2142" spans="1:31" s="20" customFormat="1" ht="14.25" customHeight="1">
      <c r="A2142" s="18"/>
      <c r="B2142" s="27"/>
      <c r="C2142" s="27"/>
      <c r="D2142" s="1104"/>
      <c r="E2142" s="1097" t="s">
        <v>860</v>
      </c>
      <c r="F2142" s="1102"/>
      <c r="G2142" s="1102"/>
      <c r="H2142" s="1102"/>
      <c r="I2142" s="1102"/>
      <c r="J2142" s="1102"/>
      <c r="K2142" s="1102"/>
      <c r="L2142" s="1102"/>
      <c r="M2142" s="1102"/>
      <c r="N2142" s="1102"/>
      <c r="O2142" s="1103"/>
      <c r="P2142" s="940">
        <f>'[1]5.LO'!E332</f>
        <v>0</v>
      </c>
      <c r="Q2142" s="941"/>
      <c r="R2142" s="941"/>
      <c r="S2142" s="941"/>
      <c r="T2142" s="941"/>
      <c r="U2142" s="942"/>
      <c r="V2142" s="1082"/>
      <c r="W2142" s="614"/>
      <c r="X2142" s="614"/>
      <c r="Y2142" s="614"/>
      <c r="Z2142" s="614"/>
      <c r="AA2142" s="614"/>
      <c r="AB2142" s="614"/>
      <c r="AC2142" s="614"/>
      <c r="AD2142" s="614"/>
      <c r="AE2142" s="614"/>
    </row>
    <row r="2143" spans="1:31" s="20" customFormat="1" ht="14.25" customHeight="1">
      <c r="A2143" s="18"/>
      <c r="B2143" s="27"/>
      <c r="C2143" s="27"/>
      <c r="D2143" s="1104"/>
      <c r="E2143" s="1097" t="s">
        <v>861</v>
      </c>
      <c r="F2143" s="1102"/>
      <c r="G2143" s="1102"/>
      <c r="H2143" s="1102"/>
      <c r="I2143" s="1102"/>
      <c r="J2143" s="1102"/>
      <c r="K2143" s="1102"/>
      <c r="L2143" s="1102"/>
      <c r="M2143" s="1102"/>
      <c r="N2143" s="1102"/>
      <c r="O2143" s="1103"/>
      <c r="P2143" s="940">
        <f>'[1]5.LO'!E333</f>
        <v>0</v>
      </c>
      <c r="Q2143" s="941"/>
      <c r="R2143" s="941"/>
      <c r="S2143" s="941"/>
      <c r="T2143" s="941"/>
      <c r="U2143" s="942"/>
      <c r="V2143" s="1082"/>
      <c r="W2143" s="614"/>
      <c r="X2143" s="614"/>
      <c r="Y2143" s="614"/>
      <c r="Z2143" s="614"/>
      <c r="AA2143" s="614"/>
      <c r="AB2143" s="614"/>
      <c r="AC2143" s="614"/>
      <c r="AD2143" s="614"/>
      <c r="AE2143" s="614"/>
    </row>
    <row r="2144" spans="1:31" s="20" customFormat="1" ht="14.25" customHeight="1">
      <c r="A2144" s="18"/>
      <c r="B2144" s="27"/>
      <c r="C2144" s="27"/>
      <c r="D2144" s="1104"/>
      <c r="E2144" s="1097" t="s">
        <v>862</v>
      </c>
      <c r="F2144" s="1102"/>
      <c r="G2144" s="1102"/>
      <c r="H2144" s="1102"/>
      <c r="I2144" s="1102"/>
      <c r="J2144" s="1102"/>
      <c r="K2144" s="1102"/>
      <c r="L2144" s="1102"/>
      <c r="M2144" s="1102"/>
      <c r="N2144" s="1102"/>
      <c r="O2144" s="1103"/>
      <c r="P2144" s="940">
        <f>'[1]5.LO'!E334</f>
        <v>0</v>
      </c>
      <c r="Q2144" s="941"/>
      <c r="R2144" s="941"/>
      <c r="S2144" s="941"/>
      <c r="T2144" s="941"/>
      <c r="U2144" s="942"/>
      <c r="V2144" s="1082"/>
      <c r="W2144" s="614"/>
      <c r="X2144" s="614"/>
      <c r="Y2144" s="614"/>
      <c r="Z2144" s="614"/>
      <c r="AA2144" s="614"/>
      <c r="AB2144" s="614"/>
      <c r="AC2144" s="614"/>
      <c r="AD2144" s="614"/>
      <c r="AE2144" s="614"/>
    </row>
    <row r="2145" spans="1:31" s="20" customFormat="1" ht="14.25" customHeight="1">
      <c r="A2145" s="18"/>
      <c r="B2145" s="27"/>
      <c r="C2145" s="27"/>
      <c r="D2145" s="1071" t="s">
        <v>863</v>
      </c>
      <c r="E2145" s="1093"/>
      <c r="F2145" s="1102"/>
      <c r="G2145" s="1102"/>
      <c r="H2145" s="1102"/>
      <c r="I2145" s="1102"/>
      <c r="J2145" s="1102"/>
      <c r="K2145" s="1102"/>
      <c r="L2145" s="1102"/>
      <c r="M2145" s="1102"/>
      <c r="N2145" s="1102"/>
      <c r="O2145" s="1103"/>
      <c r="P2145" s="994">
        <f>P2146</f>
        <v>5250000</v>
      </c>
      <c r="Q2145" s="995"/>
      <c r="R2145" s="995"/>
      <c r="S2145" s="995"/>
      <c r="T2145" s="995"/>
      <c r="U2145" s="996"/>
      <c r="V2145" s="1082"/>
      <c r="W2145" s="614"/>
      <c r="X2145" s="614"/>
      <c r="Y2145" s="614"/>
      <c r="Z2145" s="614"/>
      <c r="AA2145" s="614"/>
      <c r="AB2145" s="614"/>
      <c r="AC2145" s="614"/>
      <c r="AD2145" s="614"/>
      <c r="AE2145" s="614"/>
    </row>
    <row r="2146" spans="1:31" s="20" customFormat="1" ht="14.25" customHeight="1">
      <c r="A2146" s="18"/>
      <c r="B2146" s="27"/>
      <c r="C2146" s="27"/>
      <c r="D2146" s="1104"/>
      <c r="E2146" s="1097" t="s">
        <v>864</v>
      </c>
      <c r="F2146" s="1102"/>
      <c r="G2146" s="1102"/>
      <c r="H2146" s="1102"/>
      <c r="I2146" s="1102"/>
      <c r="J2146" s="1102"/>
      <c r="K2146" s="1102"/>
      <c r="L2146" s="1102"/>
      <c r="M2146" s="1102"/>
      <c r="N2146" s="1102"/>
      <c r="O2146" s="1103"/>
      <c r="P2146" s="940">
        <f>'[1]5.LO'!E336</f>
        <v>5250000</v>
      </c>
      <c r="Q2146" s="941"/>
      <c r="R2146" s="941"/>
      <c r="S2146" s="941"/>
      <c r="T2146" s="941"/>
      <c r="U2146" s="942"/>
      <c r="V2146" s="1082"/>
      <c r="W2146" s="614"/>
      <c r="X2146" s="614"/>
      <c r="Y2146" s="614"/>
      <c r="Z2146" s="614"/>
      <c r="AA2146" s="614"/>
      <c r="AB2146" s="614"/>
      <c r="AC2146" s="614"/>
      <c r="AD2146" s="614"/>
      <c r="AE2146" s="614"/>
    </row>
    <row r="2147" spans="1:31" s="20" customFormat="1" ht="14.25" customHeight="1">
      <c r="A2147" s="18"/>
      <c r="B2147" s="27"/>
      <c r="C2147" s="27"/>
      <c r="D2147" s="1071" t="s">
        <v>865</v>
      </c>
      <c r="E2147" s="1093"/>
      <c r="F2147" s="1102"/>
      <c r="G2147" s="1102"/>
      <c r="H2147" s="1102"/>
      <c r="I2147" s="1102"/>
      <c r="J2147" s="1102"/>
      <c r="K2147" s="1102"/>
      <c r="L2147" s="1102"/>
      <c r="M2147" s="1102"/>
      <c r="N2147" s="1102"/>
      <c r="O2147" s="1103"/>
      <c r="P2147" s="994">
        <f>SUM(P2148:U2154)</f>
        <v>0</v>
      </c>
      <c r="Q2147" s="995"/>
      <c r="R2147" s="995"/>
      <c r="S2147" s="995"/>
      <c r="T2147" s="995"/>
      <c r="U2147" s="996"/>
      <c r="V2147" s="1082"/>
      <c r="W2147" s="614"/>
      <c r="X2147" s="614"/>
      <c r="Y2147" s="614"/>
      <c r="Z2147" s="614"/>
      <c r="AA2147" s="614"/>
      <c r="AB2147" s="614"/>
      <c r="AC2147" s="614"/>
      <c r="AD2147" s="614"/>
      <c r="AE2147" s="614"/>
    </row>
    <row r="2148" spans="1:31" s="20" customFormat="1" ht="14.25" customHeight="1">
      <c r="A2148" s="18"/>
      <c r="B2148" s="27"/>
      <c r="C2148" s="27"/>
      <c r="D2148" s="1104"/>
      <c r="E2148" s="1097" t="s">
        <v>866</v>
      </c>
      <c r="F2148" s="1102"/>
      <c r="G2148" s="1102"/>
      <c r="H2148" s="1102"/>
      <c r="I2148" s="1102"/>
      <c r="J2148" s="1102"/>
      <c r="K2148" s="1102"/>
      <c r="L2148" s="1102"/>
      <c r="M2148" s="1102"/>
      <c r="N2148" s="1102"/>
      <c r="O2148" s="1103"/>
      <c r="P2148" s="940">
        <f>'[1]5.LO'!E338</f>
        <v>0</v>
      </c>
      <c r="Q2148" s="941"/>
      <c r="R2148" s="941"/>
      <c r="S2148" s="941"/>
      <c r="T2148" s="941"/>
      <c r="U2148" s="942"/>
      <c r="V2148" s="1082"/>
      <c r="W2148" s="614"/>
      <c r="X2148" s="614"/>
      <c r="Y2148" s="614"/>
      <c r="Z2148" s="614"/>
      <c r="AA2148" s="614"/>
      <c r="AB2148" s="614"/>
      <c r="AC2148" s="614"/>
      <c r="AD2148" s="614"/>
      <c r="AE2148" s="614"/>
    </row>
    <row r="2149" spans="1:31" s="20" customFormat="1" ht="14.25" customHeight="1">
      <c r="A2149" s="18"/>
      <c r="B2149" s="27"/>
      <c r="C2149" s="27"/>
      <c r="D2149" s="1104"/>
      <c r="E2149" s="1097" t="s">
        <v>867</v>
      </c>
      <c r="F2149" s="1102"/>
      <c r="G2149" s="1102"/>
      <c r="H2149" s="1102"/>
      <c r="I2149" s="1102"/>
      <c r="J2149" s="1102"/>
      <c r="K2149" s="1102"/>
      <c r="L2149" s="1102"/>
      <c r="M2149" s="1102"/>
      <c r="N2149" s="1102"/>
      <c r="O2149" s="1103"/>
      <c r="P2149" s="940">
        <f>'[1]5.LO'!E339</f>
        <v>0</v>
      </c>
      <c r="Q2149" s="941"/>
      <c r="R2149" s="941"/>
      <c r="S2149" s="941"/>
      <c r="T2149" s="941"/>
      <c r="U2149" s="942"/>
      <c r="V2149" s="1082"/>
      <c r="W2149" s="614"/>
      <c r="X2149" s="614"/>
      <c r="Y2149" s="614"/>
      <c r="Z2149" s="614"/>
      <c r="AA2149" s="614"/>
      <c r="AB2149" s="614"/>
      <c r="AC2149" s="614"/>
      <c r="AD2149" s="614"/>
      <c r="AE2149" s="614"/>
    </row>
    <row r="2150" spans="1:31" s="20" customFormat="1" ht="14.25" customHeight="1">
      <c r="A2150" s="18"/>
      <c r="B2150" s="27"/>
      <c r="C2150" s="27"/>
      <c r="D2150" s="1104"/>
      <c r="E2150" s="1097" t="s">
        <v>868</v>
      </c>
      <c r="F2150" s="1102"/>
      <c r="G2150" s="1102"/>
      <c r="H2150" s="1102"/>
      <c r="I2150" s="1102"/>
      <c r="J2150" s="1102"/>
      <c r="K2150" s="1102"/>
      <c r="L2150" s="1102"/>
      <c r="M2150" s="1102"/>
      <c r="N2150" s="1102"/>
      <c r="O2150" s="1103"/>
      <c r="P2150" s="940">
        <f>'[1]5.LO'!E340</f>
        <v>0</v>
      </c>
      <c r="Q2150" s="941"/>
      <c r="R2150" s="941"/>
      <c r="S2150" s="941"/>
      <c r="T2150" s="941"/>
      <c r="U2150" s="942"/>
      <c r="V2150" s="1082"/>
      <c r="W2150" s="614"/>
      <c r="X2150" s="614"/>
      <c r="Y2150" s="614"/>
      <c r="Z2150" s="614"/>
      <c r="AA2150" s="614"/>
      <c r="AB2150" s="614"/>
      <c r="AC2150" s="614"/>
      <c r="AD2150" s="614"/>
      <c r="AE2150" s="614"/>
    </row>
    <row r="2151" spans="1:31" s="20" customFormat="1" ht="22.5" customHeight="1">
      <c r="A2151" s="18"/>
      <c r="B2151" s="27"/>
      <c r="C2151" s="27"/>
      <c r="D2151" s="1104"/>
      <c r="E2151" s="1097" t="s">
        <v>869</v>
      </c>
      <c r="F2151" s="1102"/>
      <c r="G2151" s="1102"/>
      <c r="H2151" s="1102"/>
      <c r="I2151" s="1102"/>
      <c r="J2151" s="1102"/>
      <c r="K2151" s="1102"/>
      <c r="L2151" s="1102"/>
      <c r="M2151" s="1102"/>
      <c r="N2151" s="1102"/>
      <c r="O2151" s="1103"/>
      <c r="P2151" s="940">
        <f>'[1]5.LO'!E341</f>
        <v>0</v>
      </c>
      <c r="Q2151" s="941"/>
      <c r="R2151" s="941"/>
      <c r="S2151" s="941"/>
      <c r="T2151" s="941"/>
      <c r="U2151" s="942"/>
      <c r="V2151" s="1082"/>
      <c r="W2151" s="614"/>
      <c r="X2151" s="614"/>
      <c r="Y2151" s="614"/>
      <c r="Z2151" s="614"/>
      <c r="AA2151" s="614"/>
      <c r="AB2151" s="614"/>
      <c r="AC2151" s="614"/>
      <c r="AD2151" s="614"/>
      <c r="AE2151" s="614"/>
    </row>
    <row r="2152" spans="1:31" s="20" customFormat="1" ht="14.25" customHeight="1">
      <c r="A2152" s="18"/>
      <c r="B2152" s="27"/>
      <c r="C2152" s="27"/>
      <c r="D2152" s="1104"/>
      <c r="E2152" s="1097" t="s">
        <v>870</v>
      </c>
      <c r="F2152" s="1102"/>
      <c r="G2152" s="1102"/>
      <c r="H2152" s="1102"/>
      <c r="I2152" s="1102"/>
      <c r="J2152" s="1102"/>
      <c r="K2152" s="1102"/>
      <c r="L2152" s="1102"/>
      <c r="M2152" s="1102"/>
      <c r="N2152" s="1102"/>
      <c r="O2152" s="1103"/>
      <c r="P2152" s="940">
        <f>'[1]5.LO'!E342</f>
        <v>0</v>
      </c>
      <c r="Q2152" s="941"/>
      <c r="R2152" s="941"/>
      <c r="S2152" s="941"/>
      <c r="T2152" s="941"/>
      <c r="U2152" s="942"/>
      <c r="V2152" s="1082"/>
      <c r="W2152" s="614"/>
      <c r="X2152" s="614"/>
      <c r="Y2152" s="614"/>
      <c r="Z2152" s="614"/>
      <c r="AA2152" s="614"/>
      <c r="AB2152" s="614"/>
      <c r="AC2152" s="614"/>
      <c r="AD2152" s="614"/>
      <c r="AE2152" s="614"/>
    </row>
    <row r="2153" spans="1:31" s="20" customFormat="1" ht="14.25" customHeight="1">
      <c r="A2153" s="18"/>
      <c r="B2153" s="27"/>
      <c r="C2153" s="27"/>
      <c r="D2153" s="1104"/>
      <c r="E2153" s="1097" t="s">
        <v>871</v>
      </c>
      <c r="F2153" s="1102"/>
      <c r="G2153" s="1102"/>
      <c r="H2153" s="1102"/>
      <c r="I2153" s="1102"/>
      <c r="J2153" s="1102"/>
      <c r="K2153" s="1102"/>
      <c r="L2153" s="1102"/>
      <c r="M2153" s="1102"/>
      <c r="N2153" s="1102"/>
      <c r="O2153" s="1103"/>
      <c r="P2153" s="940">
        <f>'[1]5.LO'!E343</f>
        <v>0</v>
      </c>
      <c r="Q2153" s="941"/>
      <c r="R2153" s="941"/>
      <c r="S2153" s="941"/>
      <c r="T2153" s="941"/>
      <c r="U2153" s="942"/>
      <c r="V2153" s="1082"/>
      <c r="W2153" s="614"/>
      <c r="X2153" s="614"/>
      <c r="Y2153" s="614"/>
      <c r="Z2153" s="614"/>
      <c r="AA2153" s="614"/>
      <c r="AB2153" s="614"/>
      <c r="AC2153" s="614"/>
      <c r="AD2153" s="614"/>
      <c r="AE2153" s="614"/>
    </row>
    <row r="2154" spans="1:31" s="20" customFormat="1" ht="14.25" customHeight="1">
      <c r="A2154" s="18"/>
      <c r="B2154" s="27"/>
      <c r="C2154" s="27"/>
      <c r="D2154" s="1104"/>
      <c r="E2154" s="1097" t="s">
        <v>872</v>
      </c>
      <c r="F2154" s="1102"/>
      <c r="G2154" s="1102"/>
      <c r="H2154" s="1102"/>
      <c r="I2154" s="1102"/>
      <c r="J2154" s="1102"/>
      <c r="K2154" s="1102"/>
      <c r="L2154" s="1102"/>
      <c r="M2154" s="1102"/>
      <c r="N2154" s="1102"/>
      <c r="O2154" s="1103"/>
      <c r="P2154" s="940">
        <f>'[1]5.LO'!E344</f>
        <v>0</v>
      </c>
      <c r="Q2154" s="941"/>
      <c r="R2154" s="941"/>
      <c r="S2154" s="941"/>
      <c r="T2154" s="941"/>
      <c r="U2154" s="942"/>
      <c r="V2154" s="1082"/>
      <c r="W2154" s="614"/>
      <c r="X2154" s="614"/>
      <c r="Y2154" s="614"/>
      <c r="Z2154" s="614"/>
      <c r="AA2154" s="614"/>
      <c r="AB2154" s="614"/>
      <c r="AC2154" s="614"/>
      <c r="AD2154" s="614"/>
      <c r="AE2154" s="614"/>
    </row>
    <row r="2155" spans="1:31" s="20" customFormat="1" ht="14.25" customHeight="1">
      <c r="A2155" s="18"/>
      <c r="B2155" s="27"/>
      <c r="C2155" s="27"/>
      <c r="D2155" s="1071" t="s">
        <v>873</v>
      </c>
      <c r="E2155" s="1093"/>
      <c r="F2155" s="1102"/>
      <c r="G2155" s="1102"/>
      <c r="H2155" s="1102"/>
      <c r="I2155" s="1102"/>
      <c r="J2155" s="1102"/>
      <c r="K2155" s="1102"/>
      <c r="L2155" s="1102"/>
      <c r="M2155" s="1102"/>
      <c r="N2155" s="1102"/>
      <c r="O2155" s="1103"/>
      <c r="P2155" s="994">
        <f>P2156</f>
        <v>0</v>
      </c>
      <c r="Q2155" s="995"/>
      <c r="R2155" s="995"/>
      <c r="S2155" s="995"/>
      <c r="T2155" s="995"/>
      <c r="U2155" s="996"/>
      <c r="V2155" s="1082"/>
      <c r="W2155" s="614"/>
      <c r="X2155" s="614"/>
      <c r="Y2155" s="614"/>
      <c r="Z2155" s="614"/>
      <c r="AA2155" s="614"/>
      <c r="AB2155" s="614"/>
      <c r="AC2155" s="614"/>
      <c r="AD2155" s="614"/>
      <c r="AE2155" s="614"/>
    </row>
    <row r="2156" spans="1:31" s="20" customFormat="1" ht="14.25" customHeight="1">
      <c r="A2156" s="18"/>
      <c r="B2156" s="27"/>
      <c r="C2156" s="27"/>
      <c r="D2156" s="1104"/>
      <c r="E2156" s="1097" t="s">
        <v>874</v>
      </c>
      <c r="F2156" s="1102"/>
      <c r="G2156" s="1102"/>
      <c r="H2156" s="1102"/>
      <c r="I2156" s="1102"/>
      <c r="J2156" s="1102"/>
      <c r="K2156" s="1102"/>
      <c r="L2156" s="1102"/>
      <c r="M2156" s="1102"/>
      <c r="N2156" s="1102"/>
      <c r="O2156" s="1103"/>
      <c r="P2156" s="940">
        <f>'[1]5.LO'!E346</f>
        <v>0</v>
      </c>
      <c r="Q2156" s="941"/>
      <c r="R2156" s="941"/>
      <c r="S2156" s="941"/>
      <c r="T2156" s="941"/>
      <c r="U2156" s="942"/>
      <c r="V2156" s="1082"/>
      <c r="W2156" s="614"/>
      <c r="X2156" s="614"/>
      <c r="Y2156" s="614"/>
      <c r="Z2156" s="614"/>
      <c r="AA2156" s="614"/>
      <c r="AB2156" s="614"/>
      <c r="AC2156" s="614"/>
      <c r="AD2156" s="614"/>
      <c r="AE2156" s="614"/>
    </row>
    <row r="2157" spans="1:31" s="20" customFormat="1" ht="14.25" customHeight="1">
      <c r="A2157" s="18"/>
      <c r="B2157" s="27"/>
      <c r="C2157" s="27"/>
      <c r="D2157" s="1071" t="s">
        <v>875</v>
      </c>
      <c r="E2157" s="1093"/>
      <c r="F2157" s="1102"/>
      <c r="G2157" s="1102"/>
      <c r="H2157" s="1102"/>
      <c r="I2157" s="1102"/>
      <c r="J2157" s="1102"/>
      <c r="K2157" s="1102"/>
      <c r="L2157" s="1102"/>
      <c r="M2157" s="1102"/>
      <c r="N2157" s="1102"/>
      <c r="O2157" s="1103"/>
      <c r="P2157" s="994">
        <f>SUM(P2158:U2159)</f>
        <v>0</v>
      </c>
      <c r="Q2157" s="995"/>
      <c r="R2157" s="995"/>
      <c r="S2157" s="995"/>
      <c r="T2157" s="995"/>
      <c r="U2157" s="996"/>
      <c r="V2157" s="1082"/>
      <c r="W2157" s="614"/>
      <c r="X2157" s="614"/>
      <c r="Y2157" s="614"/>
      <c r="Z2157" s="614"/>
      <c r="AA2157" s="614"/>
      <c r="AB2157" s="614"/>
      <c r="AC2157" s="614"/>
      <c r="AD2157" s="614"/>
      <c r="AE2157" s="614"/>
    </row>
    <row r="2158" spans="1:31" s="20" customFormat="1" ht="14.25" customHeight="1">
      <c r="A2158" s="18"/>
      <c r="B2158" s="27"/>
      <c r="C2158" s="27"/>
      <c r="D2158" s="1104"/>
      <c r="E2158" s="1097" t="s">
        <v>876</v>
      </c>
      <c r="F2158" s="1102"/>
      <c r="G2158" s="1102"/>
      <c r="H2158" s="1102"/>
      <c r="I2158" s="1102"/>
      <c r="J2158" s="1102"/>
      <c r="K2158" s="1102"/>
      <c r="L2158" s="1102"/>
      <c r="M2158" s="1102"/>
      <c r="N2158" s="1102"/>
      <c r="O2158" s="1103"/>
      <c r="P2158" s="940">
        <f>'[1]5.LO'!E348</f>
        <v>0</v>
      </c>
      <c r="Q2158" s="941"/>
      <c r="R2158" s="941"/>
      <c r="S2158" s="941"/>
      <c r="T2158" s="941"/>
      <c r="U2158" s="942"/>
      <c r="V2158" s="1082"/>
      <c r="W2158" s="614"/>
      <c r="X2158" s="614"/>
      <c r="Y2158" s="614"/>
      <c r="Z2158" s="614"/>
      <c r="AA2158" s="614"/>
      <c r="AB2158" s="614"/>
      <c r="AC2158" s="614"/>
      <c r="AD2158" s="614"/>
      <c r="AE2158" s="614"/>
    </row>
    <row r="2159" spans="1:31" s="20" customFormat="1" ht="14.25" customHeight="1">
      <c r="A2159" s="18"/>
      <c r="B2159" s="27"/>
      <c r="C2159" s="27"/>
      <c r="D2159" s="1104"/>
      <c r="E2159" s="1097" t="s">
        <v>877</v>
      </c>
      <c r="F2159" s="1102"/>
      <c r="G2159" s="1102"/>
      <c r="H2159" s="1102"/>
      <c r="I2159" s="1102"/>
      <c r="J2159" s="1102"/>
      <c r="K2159" s="1102"/>
      <c r="L2159" s="1102"/>
      <c r="M2159" s="1102"/>
      <c r="N2159" s="1102"/>
      <c r="O2159" s="1103"/>
      <c r="P2159" s="940">
        <f>'[1]5.LO'!E349</f>
        <v>0</v>
      </c>
      <c r="Q2159" s="941"/>
      <c r="R2159" s="941"/>
      <c r="S2159" s="941"/>
      <c r="T2159" s="941"/>
      <c r="U2159" s="942"/>
      <c r="V2159" s="1082"/>
      <c r="W2159" s="614"/>
      <c r="X2159" s="614"/>
      <c r="Y2159" s="614"/>
      <c r="Z2159" s="614"/>
      <c r="AA2159" s="614"/>
      <c r="AB2159" s="614"/>
      <c r="AC2159" s="614"/>
      <c r="AD2159" s="614"/>
      <c r="AE2159" s="614"/>
    </row>
    <row r="2160" spans="1:31" s="20" customFormat="1" ht="14.25" customHeight="1">
      <c r="A2160" s="18"/>
      <c r="B2160" s="27"/>
      <c r="C2160" s="27"/>
      <c r="D2160" s="1071" t="s">
        <v>878</v>
      </c>
      <c r="E2160" s="1093"/>
      <c r="F2160" s="1102"/>
      <c r="G2160" s="1102"/>
      <c r="H2160" s="1102"/>
      <c r="I2160" s="1102"/>
      <c r="J2160" s="1102"/>
      <c r="K2160" s="1102"/>
      <c r="L2160" s="1102"/>
      <c r="M2160" s="1102"/>
      <c r="N2160" s="1102"/>
      <c r="O2160" s="1103"/>
      <c r="P2160" s="994">
        <f>P2161</f>
        <v>1620693000</v>
      </c>
      <c r="Q2160" s="995"/>
      <c r="R2160" s="995"/>
      <c r="S2160" s="995"/>
      <c r="T2160" s="995"/>
      <c r="U2160" s="996"/>
      <c r="V2160" s="1082"/>
      <c r="W2160" s="614"/>
      <c r="X2160" s="614"/>
      <c r="Y2160" s="614"/>
      <c r="Z2160" s="614"/>
      <c r="AA2160" s="614"/>
      <c r="AB2160" s="614"/>
      <c r="AC2160" s="614"/>
      <c r="AD2160" s="614"/>
      <c r="AE2160" s="614"/>
    </row>
    <row r="2161" spans="1:40" s="20" customFormat="1" ht="14.25" customHeight="1">
      <c r="A2161" s="18"/>
      <c r="B2161" s="27"/>
      <c r="C2161" s="27"/>
      <c r="D2161" s="1104"/>
      <c r="E2161" s="1097" t="s">
        <v>879</v>
      </c>
      <c r="F2161" s="1102"/>
      <c r="G2161" s="1102"/>
      <c r="H2161" s="1102"/>
      <c r="I2161" s="1102"/>
      <c r="J2161" s="1102"/>
      <c r="K2161" s="1102"/>
      <c r="L2161" s="1102"/>
      <c r="M2161" s="1102"/>
      <c r="N2161" s="1102"/>
      <c r="O2161" s="1103"/>
      <c r="P2161" s="940">
        <f>'[1]5.LO'!E351</f>
        <v>1620693000</v>
      </c>
      <c r="Q2161" s="941"/>
      <c r="R2161" s="941"/>
      <c r="S2161" s="941"/>
      <c r="T2161" s="941"/>
      <c r="U2161" s="942"/>
      <c r="V2161" s="1082"/>
      <c r="W2161" s="614"/>
      <c r="X2161" s="614"/>
      <c r="Y2161" s="614"/>
      <c r="Z2161" s="614"/>
      <c r="AA2161" s="614"/>
      <c r="AB2161" s="614"/>
      <c r="AC2161" s="614"/>
      <c r="AD2161" s="614"/>
      <c r="AE2161" s="614"/>
    </row>
    <row r="2162" spans="1:40" s="20" customFormat="1" ht="14.25" customHeight="1">
      <c r="A2162" s="18"/>
      <c r="B2162" s="27"/>
      <c r="C2162" s="27"/>
      <c r="D2162" s="1071" t="s">
        <v>880</v>
      </c>
      <c r="E2162" s="1093"/>
      <c r="F2162" s="1102"/>
      <c r="G2162" s="1102"/>
      <c r="H2162" s="1102"/>
      <c r="I2162" s="1102"/>
      <c r="J2162" s="1102"/>
      <c r="K2162" s="1102"/>
      <c r="L2162" s="1102"/>
      <c r="M2162" s="1102"/>
      <c r="N2162" s="1102"/>
      <c r="O2162" s="1103"/>
      <c r="P2162" s="994">
        <f>P2163</f>
        <v>0</v>
      </c>
      <c r="Q2162" s="995"/>
      <c r="R2162" s="995"/>
      <c r="S2162" s="995"/>
      <c r="T2162" s="995"/>
      <c r="U2162" s="996"/>
      <c r="V2162" s="1082"/>
      <c r="W2162" s="614"/>
      <c r="X2162" s="614"/>
      <c r="Y2162" s="614"/>
      <c r="Z2162" s="614"/>
      <c r="AA2162" s="614"/>
      <c r="AB2162" s="614"/>
      <c r="AC2162" s="614"/>
      <c r="AD2162" s="614"/>
      <c r="AE2162" s="614"/>
    </row>
    <row r="2163" spans="1:40" s="20" customFormat="1" ht="14.25" customHeight="1">
      <c r="A2163" s="18"/>
      <c r="B2163" s="27"/>
      <c r="C2163" s="27"/>
      <c r="D2163" s="1104"/>
      <c r="E2163" s="1097" t="s">
        <v>881</v>
      </c>
      <c r="F2163" s="1102"/>
      <c r="G2163" s="1102"/>
      <c r="H2163" s="1102"/>
      <c r="I2163" s="1102"/>
      <c r="J2163" s="1102"/>
      <c r="K2163" s="1102"/>
      <c r="L2163" s="1102"/>
      <c r="M2163" s="1102"/>
      <c r="N2163" s="1102"/>
      <c r="O2163" s="1103"/>
      <c r="P2163" s="940">
        <f>'[1]5.LO'!E353</f>
        <v>0</v>
      </c>
      <c r="Q2163" s="941"/>
      <c r="R2163" s="941"/>
      <c r="S2163" s="941"/>
      <c r="T2163" s="941"/>
      <c r="U2163" s="942"/>
      <c r="V2163" s="1082"/>
      <c r="W2163" s="614"/>
      <c r="X2163" s="614"/>
      <c r="Y2163" s="614"/>
      <c r="Z2163" s="614"/>
      <c r="AA2163" s="614"/>
      <c r="AB2163" s="614"/>
      <c r="AC2163" s="614"/>
      <c r="AD2163" s="614"/>
      <c r="AE2163" s="614"/>
    </row>
    <row r="2164" spans="1:40" s="20" customFormat="1" ht="14.25" customHeight="1">
      <c r="A2164" s="18"/>
      <c r="B2164" s="27"/>
      <c r="C2164" s="27"/>
      <c r="D2164" s="1071" t="s">
        <v>741</v>
      </c>
      <c r="E2164" s="1093"/>
      <c r="F2164" s="1102"/>
      <c r="G2164" s="1102"/>
      <c r="H2164" s="1102"/>
      <c r="I2164" s="1102"/>
      <c r="J2164" s="1102"/>
      <c r="K2164" s="1102"/>
      <c r="L2164" s="1102"/>
      <c r="M2164" s="1102"/>
      <c r="N2164" s="1102"/>
      <c r="O2164" s="1103"/>
      <c r="P2164" s="994">
        <f>SUM(P2165:U2168)</f>
        <v>0</v>
      </c>
      <c r="Q2164" s="995"/>
      <c r="R2164" s="995"/>
      <c r="S2164" s="995"/>
      <c r="T2164" s="995"/>
      <c r="U2164" s="996"/>
      <c r="V2164" s="1082"/>
      <c r="W2164" s="614"/>
      <c r="X2164" s="614"/>
      <c r="Y2164" s="614"/>
      <c r="Z2164" s="614"/>
      <c r="AA2164" s="614"/>
      <c r="AB2164" s="614"/>
      <c r="AC2164" s="614"/>
      <c r="AD2164" s="614"/>
      <c r="AE2164" s="614"/>
    </row>
    <row r="2165" spans="1:40" s="20" customFormat="1" ht="14.25" customHeight="1">
      <c r="A2165" s="18"/>
      <c r="B2165" s="27"/>
      <c r="C2165" s="27"/>
      <c r="D2165" s="1104"/>
      <c r="E2165" s="1097" t="s">
        <v>742</v>
      </c>
      <c r="F2165" s="1102"/>
      <c r="G2165" s="1102"/>
      <c r="H2165" s="1102"/>
      <c r="I2165" s="1102"/>
      <c r="J2165" s="1102"/>
      <c r="K2165" s="1102"/>
      <c r="L2165" s="1102"/>
      <c r="M2165" s="1102"/>
      <c r="N2165" s="1102"/>
      <c r="O2165" s="1103"/>
      <c r="P2165" s="940">
        <f>'[1]5.LO'!E355</f>
        <v>0</v>
      </c>
      <c r="Q2165" s="941"/>
      <c r="R2165" s="941"/>
      <c r="S2165" s="941"/>
      <c r="T2165" s="941"/>
      <c r="U2165" s="942"/>
      <c r="V2165" s="1082"/>
      <c r="W2165" s="614"/>
      <c r="X2165" s="614"/>
      <c r="Y2165" s="614"/>
      <c r="Z2165" s="614"/>
      <c r="AA2165" s="614"/>
      <c r="AB2165" s="614"/>
      <c r="AC2165" s="614"/>
      <c r="AD2165" s="614"/>
      <c r="AE2165" s="614"/>
    </row>
    <row r="2166" spans="1:40" s="20" customFormat="1" ht="22.5" customHeight="1">
      <c r="A2166" s="18"/>
      <c r="B2166" s="27"/>
      <c r="C2166" s="27"/>
      <c r="D2166" s="1104"/>
      <c r="E2166" s="1097" t="s">
        <v>743</v>
      </c>
      <c r="F2166" s="1102"/>
      <c r="G2166" s="1102"/>
      <c r="H2166" s="1102"/>
      <c r="I2166" s="1102"/>
      <c r="J2166" s="1102"/>
      <c r="K2166" s="1102"/>
      <c r="L2166" s="1102"/>
      <c r="M2166" s="1102"/>
      <c r="N2166" s="1102"/>
      <c r="O2166" s="1103"/>
      <c r="P2166" s="940">
        <f>'[1]5.LO'!E356</f>
        <v>0</v>
      </c>
      <c r="Q2166" s="941"/>
      <c r="R2166" s="941"/>
      <c r="S2166" s="941"/>
      <c r="T2166" s="941"/>
      <c r="U2166" s="942"/>
      <c r="V2166" s="1082"/>
      <c r="W2166" s="614"/>
      <c r="X2166" s="614"/>
      <c r="Y2166" s="614"/>
      <c r="Z2166" s="614"/>
      <c r="AA2166" s="614"/>
      <c r="AB2166" s="614"/>
      <c r="AC2166" s="614"/>
      <c r="AD2166" s="614"/>
      <c r="AE2166" s="614"/>
    </row>
    <row r="2167" spans="1:40" s="20" customFormat="1" ht="19.5" customHeight="1">
      <c r="A2167" s="18"/>
      <c r="B2167" s="27"/>
      <c r="C2167" s="27"/>
      <c r="D2167" s="1104"/>
      <c r="E2167" s="1097" t="s">
        <v>744</v>
      </c>
      <c r="F2167" s="1102"/>
      <c r="G2167" s="1102"/>
      <c r="H2167" s="1102"/>
      <c r="I2167" s="1102"/>
      <c r="J2167" s="1102"/>
      <c r="K2167" s="1102"/>
      <c r="L2167" s="1102"/>
      <c r="M2167" s="1102"/>
      <c r="N2167" s="1102"/>
      <c r="O2167" s="1103"/>
      <c r="P2167" s="940">
        <f>'[1]5.LO'!E357</f>
        <v>0</v>
      </c>
      <c r="Q2167" s="941"/>
      <c r="R2167" s="941"/>
      <c r="S2167" s="941"/>
      <c r="T2167" s="941"/>
      <c r="U2167" s="942"/>
      <c r="V2167" s="1082"/>
      <c r="W2167" s="614"/>
      <c r="X2167" s="614"/>
      <c r="Y2167" s="614"/>
      <c r="Z2167" s="614"/>
      <c r="AA2167" s="614"/>
      <c r="AB2167" s="614"/>
      <c r="AC2167" s="614"/>
      <c r="AD2167" s="614"/>
      <c r="AE2167" s="614"/>
    </row>
    <row r="2168" spans="1:40" s="20" customFormat="1" ht="16.5" customHeight="1">
      <c r="A2168" s="18"/>
      <c r="B2168" s="27"/>
      <c r="C2168" s="27"/>
      <c r="D2168" s="1104"/>
      <c r="E2168" s="1097" t="s">
        <v>745</v>
      </c>
      <c r="F2168" s="1102"/>
      <c r="G2168" s="1102"/>
      <c r="H2168" s="1102"/>
      <c r="I2168" s="1102"/>
      <c r="J2168" s="1102"/>
      <c r="K2168" s="1102"/>
      <c r="L2168" s="1102"/>
      <c r="M2168" s="1102"/>
      <c r="N2168" s="1102"/>
      <c r="O2168" s="1103"/>
      <c r="P2168" s="940">
        <f>'[1]5.LO'!E358</f>
        <v>0</v>
      </c>
      <c r="Q2168" s="941"/>
      <c r="R2168" s="941"/>
      <c r="S2168" s="941"/>
      <c r="T2168" s="941"/>
      <c r="U2168" s="942"/>
      <c r="V2168" s="1082"/>
      <c r="W2168" s="614"/>
      <c r="X2168" s="614"/>
      <c r="Y2168" s="614"/>
      <c r="Z2168" s="614"/>
      <c r="AA2168" s="614"/>
      <c r="AB2168" s="614"/>
      <c r="AC2168" s="614"/>
      <c r="AD2168" s="614"/>
      <c r="AE2168" s="614"/>
    </row>
    <row r="2169" spans="1:40" s="20" customFormat="1" ht="22.5" customHeight="1">
      <c r="A2169" s="18"/>
      <c r="B2169" s="27"/>
      <c r="C2169" s="27"/>
      <c r="D2169" s="1071" t="s">
        <v>882</v>
      </c>
      <c r="E2169" s="1093"/>
      <c r="F2169" s="1102"/>
      <c r="G2169" s="1102"/>
      <c r="H2169" s="1102"/>
      <c r="I2169" s="1102"/>
      <c r="J2169" s="1102"/>
      <c r="K2169" s="1102"/>
      <c r="L2169" s="1102"/>
      <c r="M2169" s="1102"/>
      <c r="N2169" s="1102"/>
      <c r="O2169" s="1103"/>
      <c r="P2169" s="994">
        <f>SUM(P2170:U2171)</f>
        <v>0</v>
      </c>
      <c r="Q2169" s="995"/>
      <c r="R2169" s="995"/>
      <c r="S2169" s="995"/>
      <c r="T2169" s="995"/>
      <c r="U2169" s="996"/>
      <c r="V2169" s="1082"/>
      <c r="W2169" s="614"/>
      <c r="X2169" s="614"/>
      <c r="Y2169" s="614"/>
      <c r="Z2169" s="614"/>
      <c r="AA2169" s="614"/>
      <c r="AB2169" s="614"/>
      <c r="AC2169" s="614"/>
      <c r="AD2169" s="614"/>
      <c r="AE2169" s="614"/>
      <c r="AN2169" s="281"/>
    </row>
    <row r="2170" spans="1:40" s="20" customFormat="1" ht="22.5" customHeight="1">
      <c r="A2170" s="18"/>
      <c r="B2170" s="27"/>
      <c r="C2170" s="27"/>
      <c r="D2170" s="1104"/>
      <c r="E2170" s="1097" t="s">
        <v>883</v>
      </c>
      <c r="F2170" s="1102"/>
      <c r="G2170" s="1102"/>
      <c r="H2170" s="1102"/>
      <c r="I2170" s="1102"/>
      <c r="J2170" s="1102"/>
      <c r="K2170" s="1102"/>
      <c r="L2170" s="1102"/>
      <c r="M2170" s="1102"/>
      <c r="N2170" s="1102"/>
      <c r="O2170" s="1103"/>
      <c r="P2170" s="940">
        <f>'[1]5.LO'!E360</f>
        <v>0</v>
      </c>
      <c r="Q2170" s="941"/>
      <c r="R2170" s="941"/>
      <c r="S2170" s="941"/>
      <c r="T2170" s="941"/>
      <c r="U2170" s="942"/>
      <c r="V2170" s="1082"/>
      <c r="W2170" s="614"/>
      <c r="X2170" s="614"/>
      <c r="Y2170" s="614"/>
      <c r="Z2170" s="614"/>
      <c r="AA2170" s="614"/>
      <c r="AB2170" s="614"/>
      <c r="AC2170" s="614"/>
      <c r="AD2170" s="614"/>
      <c r="AE2170" s="614"/>
    </row>
    <row r="2171" spans="1:40" s="20" customFormat="1" ht="22.5" customHeight="1">
      <c r="A2171" s="18"/>
      <c r="B2171" s="27"/>
      <c r="C2171" s="27"/>
      <c r="D2171" s="1104"/>
      <c r="E2171" s="1097" t="s">
        <v>884</v>
      </c>
      <c r="F2171" s="1102"/>
      <c r="G2171" s="1102"/>
      <c r="H2171" s="1102"/>
      <c r="I2171" s="1102"/>
      <c r="J2171" s="1102"/>
      <c r="K2171" s="1102"/>
      <c r="L2171" s="1102"/>
      <c r="M2171" s="1102"/>
      <c r="N2171" s="1102"/>
      <c r="O2171" s="1103"/>
      <c r="P2171" s="940">
        <f>'[1]5.LO'!E361</f>
        <v>0</v>
      </c>
      <c r="Q2171" s="941"/>
      <c r="R2171" s="941"/>
      <c r="S2171" s="941"/>
      <c r="T2171" s="941"/>
      <c r="U2171" s="942"/>
      <c r="V2171" s="1082"/>
      <c r="W2171" s="614"/>
      <c r="X2171" s="614"/>
      <c r="Y2171" s="614"/>
      <c r="Z2171" s="614"/>
      <c r="AA2171" s="614"/>
      <c r="AB2171" s="614"/>
      <c r="AC2171" s="614"/>
      <c r="AD2171" s="614"/>
      <c r="AE2171" s="614"/>
    </row>
    <row r="2172" spans="1:40" s="281" customFormat="1" ht="22.5" customHeight="1">
      <c r="A2172" s="18"/>
      <c r="B2172" s="567"/>
      <c r="C2172" s="609"/>
      <c r="D2172" s="1028" t="s">
        <v>885</v>
      </c>
      <c r="E2172" s="988"/>
      <c r="F2172" s="988"/>
      <c r="G2172" s="988"/>
      <c r="H2172" s="988"/>
      <c r="I2172" s="988"/>
      <c r="J2172" s="988"/>
      <c r="K2172" s="988"/>
      <c r="L2172" s="988"/>
      <c r="M2172" s="988"/>
      <c r="N2172" s="988"/>
      <c r="O2172" s="989"/>
      <c r="P2172" s="994">
        <f>P2065+P2104+P2107+P2113+P2116+P2119+P2131+P2138+P2145+P2147+P2155+P2157+P2160+P2162+P2164+P2169</f>
        <v>10836563634</v>
      </c>
      <c r="Q2172" s="995"/>
      <c r="R2172" s="995"/>
      <c r="S2172" s="995"/>
      <c r="T2172" s="995"/>
      <c r="U2172" s="996"/>
      <c r="V2172" s="92"/>
      <c r="W2172" s="614"/>
      <c r="X2172" s="614"/>
      <c r="Y2172" s="614"/>
      <c r="Z2172" s="614"/>
      <c r="AA2172" s="614"/>
      <c r="AB2172" s="614"/>
      <c r="AC2172" s="614"/>
      <c r="AD2172" s="614"/>
      <c r="AE2172" s="614"/>
      <c r="AF2172" s="20"/>
      <c r="AG2172" s="20"/>
      <c r="AH2172" s="20"/>
      <c r="AI2172" s="20"/>
      <c r="AJ2172" s="20"/>
      <c r="AK2172" s="20"/>
      <c r="AL2172" s="20"/>
      <c r="AM2172" s="20"/>
      <c r="AN2172" s="20"/>
    </row>
    <row r="2173" spans="1:40" s="20" customFormat="1" ht="22.5" customHeight="1">
      <c r="A2173" s="18"/>
      <c r="B2173" s="567"/>
      <c r="C2173" s="609"/>
      <c r="D2173" s="609"/>
      <c r="E2173" s="609"/>
      <c r="F2173" s="609"/>
      <c r="G2173" s="609"/>
      <c r="H2173" s="609"/>
      <c r="I2173" s="609"/>
      <c r="J2173" s="1101"/>
      <c r="K2173" s="1101"/>
      <c r="L2173" s="1101"/>
      <c r="M2173" s="1101"/>
      <c r="N2173" s="1101"/>
      <c r="O2173" s="1101"/>
      <c r="P2173" s="1101"/>
      <c r="Q2173" s="1101"/>
      <c r="R2173" s="1105"/>
      <c r="S2173" s="1105"/>
      <c r="T2173" s="128"/>
      <c r="U2173" s="128"/>
      <c r="V2173" s="92"/>
      <c r="W2173" s="614"/>
      <c r="X2173" s="614"/>
      <c r="Y2173" s="614"/>
      <c r="Z2173" s="614"/>
      <c r="AA2173" s="614"/>
      <c r="AB2173" s="614"/>
      <c r="AC2173" s="614"/>
      <c r="AD2173" s="614"/>
      <c r="AE2173" s="614"/>
    </row>
    <row r="2174" spans="1:40" s="20" customFormat="1" ht="22.5" customHeight="1">
      <c r="A2174" s="18"/>
      <c r="B2174" s="982"/>
      <c r="C2174" s="1089" t="s">
        <v>262</v>
      </c>
      <c r="D2174" s="1062" t="s">
        <v>671</v>
      </c>
      <c r="E2174" s="1062"/>
      <c r="F2174" s="1062"/>
      <c r="G2174" s="1062"/>
      <c r="H2174" s="1062"/>
      <c r="I2174" s="1062"/>
      <c r="J2174" s="1062"/>
      <c r="K2174" s="1062"/>
      <c r="L2174" s="1062"/>
      <c r="M2174" s="1062"/>
      <c r="N2174" s="1062"/>
      <c r="O2174" s="1062"/>
      <c r="P2174" s="1062"/>
      <c r="Q2174" s="1062"/>
      <c r="R2174" s="1062"/>
      <c r="S2174" s="1062"/>
      <c r="T2174" s="1062"/>
      <c r="U2174" s="1062"/>
      <c r="V2174" s="92"/>
      <c r="W2174" s="614"/>
      <c r="X2174" s="614"/>
      <c r="Y2174" s="614"/>
      <c r="Z2174" s="614"/>
      <c r="AA2174" s="614"/>
      <c r="AB2174" s="614"/>
      <c r="AC2174" s="614"/>
      <c r="AD2174" s="614"/>
      <c r="AE2174" s="614"/>
    </row>
    <row r="2175" spans="1:40" s="20" customFormat="1" ht="68.25" customHeight="1">
      <c r="A2175" s="18"/>
      <c r="C2175" s="37"/>
      <c r="D2175" s="313" t="str">
        <f>"Beban Pemeliharaan Tahun "&amp;'[1]2.ISIAN DATA SKPD'!D11&amp;"  dan tahun "&amp;'[1]2.ISIAN DATA SKPD'!D12&amp;" adalah masing-masing sebesar Rp. "&amp;FIXED(J1935)&amp;" dan "&amp;FIXED(P1935)&amp;" mengalami  kenaikan/penurunan sebesar Rp. "&amp;FIXED(AC1935)&amp;" atau sebesar "&amp;FIXED(Y1935)&amp;"% dari tahun "&amp;'[1]2.ISIAN DATA SKPD'!D12&amp;"."</f>
        <v>Beban Pemeliharaan Tahun 2017  dan tahun 2016 adalah masing-masing sebesar Rp. 309,008,104.00 dan 1,822,865,876.00 mengalami  kenaikan/penurunan sebesar Rp. -1,513,857,772.00 atau sebesar -83.05% dari tahun 2016.</v>
      </c>
      <c r="E2175" s="313"/>
      <c r="F2175" s="313"/>
      <c r="G2175" s="313"/>
      <c r="H2175" s="313"/>
      <c r="I2175" s="313"/>
      <c r="J2175" s="313"/>
      <c r="K2175" s="313"/>
      <c r="L2175" s="313"/>
      <c r="M2175" s="313"/>
      <c r="N2175" s="313"/>
      <c r="O2175" s="313"/>
      <c r="P2175" s="313"/>
      <c r="Q2175" s="313"/>
      <c r="R2175" s="313"/>
      <c r="S2175" s="313"/>
      <c r="T2175" s="313"/>
      <c r="U2175" s="313"/>
      <c r="V2175" s="92"/>
      <c r="W2175" s="614"/>
      <c r="X2175" s="614"/>
      <c r="Y2175" s="614"/>
      <c r="Z2175" s="614"/>
      <c r="AA2175" s="614"/>
      <c r="AB2175" s="614"/>
      <c r="AC2175" s="614"/>
      <c r="AD2175" s="614"/>
      <c r="AE2175" s="614"/>
    </row>
    <row r="2176" spans="1:40" s="20" customFormat="1" ht="73.5" customHeight="1">
      <c r="A2176" s="18"/>
      <c r="C2176" s="37"/>
      <c r="D2176" s="313" t="str">
        <f>"Beban Pemeliharaan merupakan beban yang dimaksudkan untuk mempertahankan aset tetap atau aset lainnya yang sudah ada ke dalam kondisi normal. Rincian beban pemeliharaan untuk Tahun "&amp;'[1]2.ISIAN DATA SKPD'!D11&amp;" adalah sebagai berikut:"</f>
        <v>Beban Pemeliharaan merupakan beban yang dimaksudkan untuk mempertahankan aset tetap atau aset lainnya yang sudah ada ke dalam kondisi normal. Rincian beban pemeliharaan untuk Tahun 2017 adalah sebagai berikut:</v>
      </c>
      <c r="E2176" s="313"/>
      <c r="F2176" s="313"/>
      <c r="G2176" s="313"/>
      <c r="H2176" s="313"/>
      <c r="I2176" s="313"/>
      <c r="J2176" s="313"/>
      <c r="K2176" s="313"/>
      <c r="L2176" s="313"/>
      <c r="M2176" s="313"/>
      <c r="N2176" s="313"/>
      <c r="O2176" s="313"/>
      <c r="P2176" s="313"/>
      <c r="Q2176" s="313"/>
      <c r="R2176" s="313"/>
      <c r="S2176" s="313"/>
      <c r="T2176" s="313"/>
      <c r="U2176" s="313"/>
      <c r="V2176" s="92"/>
      <c r="W2176" s="614"/>
      <c r="X2176" s="614"/>
      <c r="Y2176" s="614"/>
      <c r="Z2176" s="614"/>
      <c r="AA2176" s="614"/>
      <c r="AB2176" s="614"/>
      <c r="AC2176" s="614"/>
      <c r="AD2176" s="614"/>
      <c r="AE2176" s="614"/>
    </row>
    <row r="2177" spans="1:39" s="20" customFormat="1" ht="19.5" customHeight="1">
      <c r="A2177" s="18"/>
      <c r="C2177" s="37"/>
      <c r="D2177" s="285"/>
      <c r="E2177" s="285"/>
      <c r="F2177" s="285"/>
      <c r="G2177" s="285"/>
      <c r="H2177" s="285"/>
      <c r="I2177" s="285"/>
      <c r="J2177" s="285"/>
      <c r="K2177" s="285"/>
      <c r="L2177" s="285"/>
      <c r="M2177" s="285"/>
      <c r="N2177" s="285"/>
      <c r="O2177" s="285"/>
      <c r="P2177" s="285"/>
      <c r="Q2177" s="285"/>
      <c r="R2177" s="285"/>
      <c r="S2177" s="285"/>
      <c r="T2177" s="285"/>
      <c r="U2177" s="285"/>
      <c r="V2177" s="92"/>
      <c r="W2177" s="614"/>
      <c r="X2177" s="614"/>
      <c r="Y2177" s="614"/>
      <c r="Z2177" s="614"/>
      <c r="AA2177" s="614"/>
      <c r="AB2177" s="614"/>
      <c r="AC2177" s="614"/>
      <c r="AD2177" s="614"/>
      <c r="AE2177" s="614"/>
    </row>
    <row r="2178" spans="1:39" s="20" customFormat="1" ht="22.5" customHeight="1">
      <c r="A2178" s="280"/>
      <c r="B2178" s="281"/>
      <c r="C2178" s="1106"/>
      <c r="D2178" s="407" t="str">
        <f>"Rincian Beban Pemeliharaan Tahun "&amp;'[1]2.ISIAN DATA SKPD'!D11&amp;""</f>
        <v>Rincian Beban Pemeliharaan Tahun 2017</v>
      </c>
      <c r="E2178" s="407"/>
      <c r="F2178" s="407"/>
      <c r="G2178" s="407"/>
      <c r="H2178" s="407"/>
      <c r="I2178" s="407"/>
      <c r="J2178" s="407"/>
      <c r="K2178" s="407"/>
      <c r="L2178" s="407"/>
      <c r="M2178" s="407"/>
      <c r="N2178" s="407"/>
      <c r="O2178" s="407"/>
      <c r="P2178" s="407"/>
      <c r="Q2178" s="407"/>
      <c r="R2178" s="407"/>
      <c r="S2178" s="1106"/>
      <c r="T2178" s="1106"/>
      <c r="U2178" s="1106"/>
      <c r="V2178" s="1107"/>
      <c r="W2178" s="1108"/>
      <c r="X2178" s="1108"/>
      <c r="Y2178" s="1108"/>
      <c r="Z2178" s="1108"/>
      <c r="AA2178" s="1108"/>
      <c r="AB2178" s="1108"/>
      <c r="AC2178" s="1108"/>
      <c r="AD2178" s="1108"/>
      <c r="AE2178" s="1108"/>
      <c r="AF2178" s="281"/>
    </row>
    <row r="2179" spans="1:39" s="20" customFormat="1" ht="35.25" customHeight="1">
      <c r="A2179" s="18"/>
      <c r="B2179" s="1091"/>
      <c r="C2179" s="1091"/>
      <c r="D2179" s="303" t="s">
        <v>84</v>
      </c>
      <c r="E2179" s="304"/>
      <c r="F2179" s="304"/>
      <c r="G2179" s="304"/>
      <c r="H2179" s="304"/>
      <c r="I2179" s="304"/>
      <c r="J2179" s="304"/>
      <c r="K2179" s="305"/>
      <c r="L2179" s="132" t="s">
        <v>143</v>
      </c>
      <c r="M2179" s="132"/>
      <c r="N2179" s="132"/>
      <c r="O2179" s="132"/>
      <c r="P2179" s="132"/>
      <c r="Q2179" s="132"/>
      <c r="R2179" s="132"/>
      <c r="S2179" s="1091"/>
      <c r="T2179" s="1109"/>
      <c r="U2179" s="1109"/>
      <c r="V2179" s="92"/>
      <c r="W2179" s="614"/>
      <c r="X2179" s="614"/>
      <c r="Y2179" s="614"/>
      <c r="Z2179" s="614"/>
      <c r="AA2179" s="614"/>
      <c r="AB2179" s="614"/>
      <c r="AC2179" s="614"/>
      <c r="AD2179" s="614"/>
      <c r="AE2179" s="614"/>
    </row>
    <row r="2180" spans="1:39" s="20" customFormat="1" ht="12" customHeight="1">
      <c r="A2180" s="18"/>
      <c r="B2180" s="567"/>
      <c r="C2180" s="609"/>
      <c r="D2180" s="1110" t="s">
        <v>886</v>
      </c>
      <c r="E2180" s="1111"/>
      <c r="F2180" s="1111"/>
      <c r="G2180" s="1111"/>
      <c r="H2180" s="1111"/>
      <c r="I2180" s="1111"/>
      <c r="J2180" s="1111"/>
      <c r="K2180" s="1112"/>
      <c r="L2180" s="940">
        <f>'[1]5.LO'!E363</f>
        <v>309008104</v>
      </c>
      <c r="M2180" s="941"/>
      <c r="N2180" s="941"/>
      <c r="O2180" s="941"/>
      <c r="P2180" s="941"/>
      <c r="Q2180" s="941"/>
      <c r="R2180" s="942"/>
      <c r="S2180" s="1101"/>
      <c r="T2180" s="518"/>
      <c r="U2180" s="518"/>
      <c r="V2180" s="92"/>
      <c r="W2180" s="614"/>
      <c r="X2180" s="614"/>
      <c r="Y2180" s="614"/>
      <c r="Z2180" s="614"/>
      <c r="AA2180" s="614"/>
      <c r="AB2180" s="614"/>
      <c r="AC2180" s="614"/>
      <c r="AD2180" s="614"/>
      <c r="AE2180" s="614"/>
    </row>
    <row r="2181" spans="1:39" s="20" customFormat="1" ht="23.25" customHeight="1">
      <c r="A2181" s="18"/>
      <c r="B2181" s="567"/>
      <c r="C2181" s="609"/>
      <c r="D2181" s="1110" t="s">
        <v>887</v>
      </c>
      <c r="E2181" s="1111"/>
      <c r="F2181" s="1111"/>
      <c r="G2181" s="1111"/>
      <c r="H2181" s="1111"/>
      <c r="I2181" s="1111"/>
      <c r="J2181" s="1111"/>
      <c r="K2181" s="1112"/>
      <c r="L2181" s="940">
        <f>'[1]5.LO'!E370</f>
        <v>0</v>
      </c>
      <c r="M2181" s="941"/>
      <c r="N2181" s="941"/>
      <c r="O2181" s="941"/>
      <c r="P2181" s="941"/>
      <c r="Q2181" s="941"/>
      <c r="R2181" s="942"/>
      <c r="S2181" s="1101"/>
      <c r="T2181" s="518"/>
      <c r="U2181" s="518"/>
      <c r="V2181" s="92"/>
      <c r="W2181" s="614"/>
      <c r="X2181" s="614"/>
      <c r="Y2181" s="614"/>
      <c r="Z2181" s="614"/>
      <c r="AA2181" s="614"/>
      <c r="AB2181" s="614"/>
      <c r="AC2181" s="614"/>
      <c r="AD2181" s="614"/>
      <c r="AE2181" s="614"/>
      <c r="AJ2181" s="281"/>
      <c r="AK2181" s="281"/>
      <c r="AL2181" s="281"/>
      <c r="AM2181" s="281"/>
    </row>
    <row r="2182" spans="1:39" s="20" customFormat="1" ht="31.5" customHeight="1">
      <c r="A2182" s="18"/>
      <c r="B2182" s="27"/>
      <c r="C2182" s="27"/>
      <c r="D2182" s="1113" t="s">
        <v>888</v>
      </c>
      <c r="E2182" s="1114"/>
      <c r="F2182" s="1114"/>
      <c r="G2182" s="1114"/>
      <c r="H2182" s="1114"/>
      <c r="I2182" s="1114"/>
      <c r="J2182" s="1114"/>
      <c r="K2182" s="1115"/>
      <c r="L2182" s="1116">
        <f>SUM(L2180:R2181)</f>
        <v>309008104</v>
      </c>
      <c r="M2182" s="1117"/>
      <c r="N2182" s="1117"/>
      <c r="O2182" s="1117"/>
      <c r="P2182" s="1117"/>
      <c r="Q2182" s="1117"/>
      <c r="R2182" s="1118"/>
      <c r="S2182" s="164"/>
      <c r="T2182" s="46"/>
      <c r="U2182" s="46"/>
      <c r="V2182" s="92"/>
      <c r="W2182" s="614"/>
      <c r="X2182" s="614"/>
      <c r="Y2182" s="614"/>
      <c r="Z2182" s="614"/>
      <c r="AA2182" s="614"/>
      <c r="AB2182" s="614"/>
      <c r="AC2182" s="614"/>
      <c r="AD2182" s="614"/>
      <c r="AE2182" s="614"/>
      <c r="AG2182" s="281"/>
      <c r="AH2182" s="281"/>
      <c r="AI2182" s="281"/>
    </row>
    <row r="2183" spans="1:39" s="20" customFormat="1" ht="22.5" customHeight="1">
      <c r="A2183" s="18"/>
      <c r="B2183" s="27"/>
      <c r="C2183" s="27"/>
      <c r="D2183" s="1119"/>
      <c r="E2183" s="1119"/>
      <c r="F2183" s="1119"/>
      <c r="G2183" s="1119"/>
      <c r="H2183" s="1119"/>
      <c r="I2183" s="1119"/>
      <c r="J2183" s="1119"/>
      <c r="K2183" s="1119"/>
      <c r="L2183" s="483"/>
      <c r="M2183" s="483"/>
      <c r="N2183" s="483"/>
      <c r="O2183" s="483"/>
      <c r="P2183" s="483"/>
      <c r="Q2183" s="483"/>
      <c r="R2183" s="483"/>
      <c r="S2183" s="164"/>
      <c r="T2183" s="46"/>
      <c r="U2183" s="46"/>
      <c r="V2183" s="92"/>
      <c r="W2183" s="614"/>
      <c r="X2183" s="614"/>
      <c r="Y2183" s="614"/>
      <c r="Z2183" s="614"/>
      <c r="AA2183" s="614"/>
      <c r="AB2183" s="614"/>
      <c r="AC2183" s="614"/>
      <c r="AD2183" s="614"/>
      <c r="AE2183" s="614"/>
    </row>
    <row r="2184" spans="1:39" s="20" customFormat="1" ht="18.75" customHeight="1">
      <c r="A2184" s="18"/>
      <c r="B2184" s="982"/>
      <c r="C2184" s="1089" t="s">
        <v>265</v>
      </c>
      <c r="D2184" s="1062" t="s">
        <v>672</v>
      </c>
      <c r="E2184" s="1062"/>
      <c r="F2184" s="1062"/>
      <c r="G2184" s="1062"/>
      <c r="H2184" s="1062"/>
      <c r="I2184" s="1062"/>
      <c r="J2184" s="1062"/>
      <c r="K2184" s="1062"/>
      <c r="L2184" s="1062"/>
      <c r="M2184" s="1062"/>
      <c r="N2184" s="1062"/>
      <c r="O2184" s="1062"/>
      <c r="P2184" s="1062"/>
      <c r="Q2184" s="1062"/>
      <c r="R2184" s="1062"/>
      <c r="S2184" s="1062"/>
      <c r="T2184" s="1062"/>
      <c r="U2184" s="1062"/>
      <c r="V2184" s="92"/>
      <c r="W2184" s="614"/>
      <c r="X2184" s="614"/>
      <c r="Y2184" s="614"/>
      <c r="Z2184" s="614"/>
      <c r="AA2184" s="614"/>
      <c r="AB2184" s="614"/>
      <c r="AC2184" s="614"/>
      <c r="AD2184" s="614"/>
      <c r="AE2184" s="614"/>
    </row>
    <row r="2185" spans="1:39" s="20" customFormat="1" ht="66" customHeight="1">
      <c r="A2185" s="18"/>
      <c r="C2185" s="37"/>
      <c r="D2185" s="313" t="str">
        <f>"Beban Perjalanan Dinas Tahun "&amp;'[1]2.ISIAN DATA SKPD'!D11&amp;"  dan tahun "&amp;'[1]2.ISIAN DATA SKPD'!D12&amp;" adalah masing-masing sebesar Rp. "&amp;FIXED(J1936)&amp;" dan "&amp;FIXED(P1936)&amp;" mengalami kenaikan/penurunan sebesar Rp. "&amp;FIXED(AC1936)&amp;" atau sebesar "&amp;FIXED(Y1936)&amp;"% dari tahun "&amp;'[1]2.ISIAN DATA SKPD'!D12&amp;" ."</f>
        <v>Beban Perjalanan Dinas Tahun 2017  dan tahun 2016 adalah masing-masing sebesar Rp. 480,246,977.00 dan 534,439,787.00 mengalami kenaikan/penurunan sebesar Rp. -54,192,810.00 atau sebesar -10.14% dari tahun 2016 .</v>
      </c>
      <c r="E2185" s="313"/>
      <c r="F2185" s="313"/>
      <c r="G2185" s="313"/>
      <c r="H2185" s="313"/>
      <c r="I2185" s="313"/>
      <c r="J2185" s="313"/>
      <c r="K2185" s="313"/>
      <c r="L2185" s="313"/>
      <c r="M2185" s="313"/>
      <c r="N2185" s="313"/>
      <c r="O2185" s="313"/>
      <c r="P2185" s="313"/>
      <c r="Q2185" s="313"/>
      <c r="R2185" s="313"/>
      <c r="S2185" s="313"/>
      <c r="T2185" s="313"/>
      <c r="U2185" s="313"/>
      <c r="V2185" s="92"/>
      <c r="W2185" s="614"/>
      <c r="X2185" s="614"/>
      <c r="Y2185" s="614"/>
      <c r="Z2185" s="614"/>
      <c r="AA2185" s="614"/>
      <c r="AB2185" s="614"/>
      <c r="AC2185" s="614"/>
      <c r="AD2185" s="614"/>
      <c r="AE2185" s="614"/>
    </row>
    <row r="2186" spans="1:39" s="20" customFormat="1" ht="64.5" customHeight="1">
      <c r="A2186" s="18"/>
      <c r="C2186" s="37"/>
      <c r="D2186" s="313" t="str">
        <f>"Beban tersebut merupakan beban yang terjadi untuk perjalanan dinas dalam rangka pelaksanaan tugas, fungsi, dan jabatan. Rincian Beban Perjalanan Dinas untuk Tahun "&amp;'[1]2.ISIAN DATA SKPD'!D11&amp;" adalah sebagai berikut: "</f>
        <v xml:space="preserve">Beban tersebut merupakan beban yang terjadi untuk perjalanan dinas dalam rangka pelaksanaan tugas, fungsi, dan jabatan. Rincian Beban Perjalanan Dinas untuk Tahun 2017 adalah sebagai berikut: </v>
      </c>
      <c r="E2186" s="313"/>
      <c r="F2186" s="313"/>
      <c r="G2186" s="313"/>
      <c r="H2186" s="313"/>
      <c r="I2186" s="313"/>
      <c r="J2186" s="313"/>
      <c r="K2186" s="313"/>
      <c r="L2186" s="313"/>
      <c r="M2186" s="313"/>
      <c r="N2186" s="313"/>
      <c r="O2186" s="313"/>
      <c r="P2186" s="313"/>
      <c r="Q2186" s="313"/>
      <c r="R2186" s="313"/>
      <c r="S2186" s="313"/>
      <c r="T2186" s="313"/>
      <c r="U2186" s="313"/>
      <c r="V2186" s="27"/>
    </row>
    <row r="2187" spans="1:39" s="20" customFormat="1" ht="22.5" customHeight="1">
      <c r="A2187" s="18"/>
      <c r="C2187" s="37"/>
      <c r="D2187" s="285"/>
      <c r="E2187" s="285"/>
      <c r="F2187" s="285"/>
      <c r="G2187" s="285"/>
      <c r="H2187" s="285"/>
      <c r="I2187" s="285"/>
      <c r="J2187" s="285"/>
      <c r="K2187" s="285"/>
      <c r="L2187" s="285"/>
      <c r="M2187" s="285"/>
      <c r="N2187" s="285"/>
      <c r="O2187" s="285"/>
      <c r="P2187" s="285"/>
      <c r="Q2187" s="285"/>
      <c r="R2187" s="285"/>
      <c r="S2187" s="285"/>
      <c r="T2187" s="285"/>
      <c r="U2187" s="285"/>
      <c r="V2187" s="27"/>
    </row>
    <row r="2188" spans="1:39" s="20" customFormat="1" ht="21.75" customHeight="1">
      <c r="A2188" s="18"/>
      <c r="C2188" s="1106"/>
      <c r="D2188" s="407" t="str">
        <f>"Rincian Beban Perjalanan Dinas Tahun "&amp;'[1]2.ISIAN DATA SKPD'!D11&amp;""</f>
        <v>Rincian Beban Perjalanan Dinas Tahun 2017</v>
      </c>
      <c r="E2188" s="407"/>
      <c r="F2188" s="407"/>
      <c r="G2188" s="407"/>
      <c r="H2188" s="407"/>
      <c r="I2188" s="407"/>
      <c r="J2188" s="407"/>
      <c r="K2188" s="407"/>
      <c r="L2188" s="407"/>
      <c r="M2188" s="407"/>
      <c r="N2188" s="407"/>
      <c r="O2188" s="407"/>
      <c r="P2188" s="407"/>
      <c r="Q2188" s="407"/>
      <c r="R2188" s="407"/>
      <c r="S2188" s="1106"/>
      <c r="T2188" s="1106"/>
      <c r="U2188" s="1106"/>
      <c r="V2188" s="27"/>
    </row>
    <row r="2189" spans="1:39" s="20" customFormat="1" ht="25.5" customHeight="1">
      <c r="A2189" s="18"/>
      <c r="B2189" s="1091"/>
      <c r="C2189" s="1091"/>
      <c r="D2189" s="303" t="s">
        <v>84</v>
      </c>
      <c r="E2189" s="304"/>
      <c r="F2189" s="304"/>
      <c r="G2189" s="304"/>
      <c r="H2189" s="304"/>
      <c r="I2189" s="304"/>
      <c r="J2189" s="304"/>
      <c r="K2189" s="305"/>
      <c r="L2189" s="132" t="s">
        <v>143</v>
      </c>
      <c r="M2189" s="132"/>
      <c r="N2189" s="132"/>
      <c r="O2189" s="132"/>
      <c r="P2189" s="132"/>
      <c r="Q2189" s="132"/>
      <c r="R2189" s="132"/>
      <c r="S2189" s="1091"/>
      <c r="T2189" s="1109"/>
      <c r="U2189" s="1109"/>
      <c r="V2189" s="27"/>
    </row>
    <row r="2190" spans="1:39" s="20" customFormat="1" ht="23.25" customHeight="1">
      <c r="A2190" s="18"/>
      <c r="B2190" s="1120"/>
      <c r="C2190" s="1121"/>
      <c r="D2190" s="1110" t="s">
        <v>889</v>
      </c>
      <c r="E2190" s="1111"/>
      <c r="F2190" s="1111"/>
      <c r="G2190" s="1111"/>
      <c r="H2190" s="1111"/>
      <c r="I2190" s="1111"/>
      <c r="J2190" s="1111"/>
      <c r="K2190" s="1112"/>
      <c r="L2190" s="940">
        <f>'[1]5.LO'!E376</f>
        <v>480246977</v>
      </c>
      <c r="M2190" s="941"/>
      <c r="N2190" s="941"/>
      <c r="O2190" s="941"/>
      <c r="P2190" s="941"/>
      <c r="Q2190" s="941"/>
      <c r="R2190" s="942"/>
      <c r="S2190" s="1101"/>
      <c r="T2190" s="1109"/>
      <c r="U2190" s="1109"/>
      <c r="V2190" s="27"/>
    </row>
    <row r="2191" spans="1:39" s="20" customFormat="1" ht="35.25" customHeight="1">
      <c r="A2191" s="18"/>
      <c r="B2191" s="1120"/>
      <c r="C2191" s="1121"/>
      <c r="D2191" s="1122" t="s">
        <v>890</v>
      </c>
      <c r="E2191" s="1123"/>
      <c r="F2191" s="1123"/>
      <c r="G2191" s="1123"/>
      <c r="H2191" s="1123"/>
      <c r="I2191" s="1123"/>
      <c r="J2191" s="1123"/>
      <c r="K2191" s="1124"/>
      <c r="L2191" s="940">
        <f>'[1]5.LO'!E379</f>
        <v>0</v>
      </c>
      <c r="M2191" s="941"/>
      <c r="N2191" s="941"/>
      <c r="O2191" s="941"/>
      <c r="P2191" s="941"/>
      <c r="Q2191" s="941"/>
      <c r="R2191" s="942"/>
      <c r="S2191" s="1101"/>
      <c r="T2191" s="1109"/>
      <c r="U2191" s="1109"/>
      <c r="V2191" s="27"/>
    </row>
    <row r="2192" spans="1:39" s="20" customFormat="1" ht="27" customHeight="1">
      <c r="A2192" s="30"/>
      <c r="B2192" s="1120"/>
      <c r="C2192" s="1121"/>
      <c r="D2192" s="1125" t="s">
        <v>891</v>
      </c>
      <c r="E2192" s="1126"/>
      <c r="F2192" s="1126"/>
      <c r="G2192" s="1126"/>
      <c r="H2192" s="1126"/>
      <c r="I2192" s="1126"/>
      <c r="J2192" s="1126"/>
      <c r="K2192" s="1127"/>
      <c r="L2192" s="940">
        <f>SUM(L2190:R2191)</f>
        <v>480246977</v>
      </c>
      <c r="M2192" s="941"/>
      <c r="N2192" s="941"/>
      <c r="O2192" s="941"/>
      <c r="P2192" s="941"/>
      <c r="Q2192" s="941"/>
      <c r="R2192" s="942"/>
      <c r="S2192" s="1101"/>
      <c r="T2192" s="518"/>
      <c r="U2192" s="518"/>
      <c r="V2192" s="27"/>
    </row>
    <row r="2193" spans="1:22" s="20" customFormat="1" ht="24" customHeight="1">
      <c r="A2193" s="30"/>
      <c r="B2193" s="1120"/>
      <c r="C2193" s="1121"/>
      <c r="D2193" s="1121"/>
      <c r="E2193" s="1121"/>
      <c r="F2193" s="1121"/>
      <c r="G2193" s="1121"/>
      <c r="H2193" s="1121"/>
      <c r="I2193" s="1121"/>
      <c r="J2193" s="1101"/>
      <c r="K2193" s="1101"/>
      <c r="L2193" s="1101"/>
      <c r="M2193" s="1101"/>
      <c r="N2193" s="1101"/>
      <c r="O2193" s="1101"/>
      <c r="P2193" s="1101"/>
      <c r="Q2193" s="1101"/>
      <c r="R2193" s="1101"/>
      <c r="S2193" s="1101"/>
      <c r="T2193" s="518"/>
      <c r="U2193" s="518"/>
      <c r="V2193" s="27"/>
    </row>
    <row r="2194" spans="1:22" s="20" customFormat="1" ht="27.75" customHeight="1">
      <c r="A2194" s="25"/>
      <c r="B2194" s="1120"/>
      <c r="C2194" s="1091" t="s">
        <v>459</v>
      </c>
      <c r="D2194" s="1062" t="s">
        <v>673</v>
      </c>
      <c r="E2194" s="1062"/>
      <c r="F2194" s="1062"/>
      <c r="G2194" s="1062"/>
      <c r="H2194" s="1062"/>
      <c r="I2194" s="1062"/>
      <c r="J2194" s="1062"/>
      <c r="K2194" s="1062"/>
      <c r="L2194" s="1062"/>
      <c r="M2194" s="1062"/>
      <c r="N2194" s="1062"/>
      <c r="O2194" s="1062"/>
      <c r="P2194" s="1062"/>
      <c r="Q2194" s="1062"/>
      <c r="R2194" s="1062"/>
      <c r="S2194" s="1062"/>
      <c r="T2194" s="1062"/>
      <c r="U2194" s="1062"/>
      <c r="V2194" s="27"/>
    </row>
    <row r="2195" spans="1:22" s="20" customFormat="1" ht="22.5" customHeight="1">
      <c r="A2195" s="25"/>
      <c r="B2195" s="1120"/>
      <c r="C2195" s="1091" t="s">
        <v>461</v>
      </c>
      <c r="D2195" s="1062" t="s">
        <v>674</v>
      </c>
      <c r="E2195" s="1062"/>
      <c r="F2195" s="1062"/>
      <c r="G2195" s="1062"/>
      <c r="H2195" s="1062"/>
      <c r="I2195" s="1062"/>
      <c r="J2195" s="1062"/>
      <c r="K2195" s="1062"/>
      <c r="L2195" s="1062"/>
      <c r="M2195" s="1062"/>
      <c r="N2195" s="1062"/>
      <c r="O2195" s="1062"/>
      <c r="P2195" s="1062"/>
      <c r="Q2195" s="1062"/>
      <c r="R2195" s="1062"/>
      <c r="S2195" s="1062"/>
      <c r="T2195" s="1062"/>
      <c r="U2195" s="1062"/>
      <c r="V2195" s="27"/>
    </row>
    <row r="2196" spans="1:22" s="20" customFormat="1" ht="21" customHeight="1">
      <c r="A2196" s="18"/>
      <c r="B2196" s="982"/>
      <c r="C2196" s="1089" t="s">
        <v>892</v>
      </c>
      <c r="D2196" s="1062" t="s">
        <v>893</v>
      </c>
      <c r="E2196" s="1062"/>
      <c r="F2196" s="1062"/>
      <c r="G2196" s="1062"/>
      <c r="H2196" s="1062"/>
      <c r="I2196" s="1062"/>
      <c r="J2196" s="1062"/>
      <c r="K2196" s="1062"/>
      <c r="L2196" s="1062"/>
      <c r="M2196" s="1062"/>
      <c r="N2196" s="1062"/>
      <c r="O2196" s="1062"/>
      <c r="P2196" s="1062"/>
      <c r="Q2196" s="1062"/>
      <c r="R2196" s="1062"/>
      <c r="S2196" s="1062"/>
      <c r="T2196" s="1062"/>
      <c r="U2196" s="1062"/>
      <c r="V2196" s="27"/>
    </row>
    <row r="2197" spans="1:22" s="20" customFormat="1" ht="83.25" customHeight="1">
      <c r="A2197" s="18"/>
      <c r="C2197" s="37"/>
      <c r="D2197" s="313" t="str">
        <f>"Beban Hibah / Barang untuk Diserahkan kepada Masyarakat Tahun "&amp;'[1]2.ISIAN DATA SKPD'!D11&amp;" dan tahun "&amp;'[1]2.ISIAN DATA SKPD'!D12&amp;" adalah masing-masing sebesar Rp. "&amp;FIXED(J1939)&amp;" dan "&amp;FIXED(P1939)&amp;" mengalami kenaikan/penurunan sebesar Rp. "&amp;FIXED(AC1939)&amp;" atau sebesar "&amp;FIXED(Y1939)&amp;"% dari tahun "&amp;'[1]2.ISIAN DATA SKPD'!D12&amp;"."</f>
        <v>Beban Hibah / Barang untuk Diserahkan kepada Masyarakat Tahun 2017 dan tahun 2016 adalah masing-masing sebesar Rp. 272,054,200.00 dan 1,124,732,450.00 mengalami kenaikan/penurunan sebesar Rp. -852,678,250.00 atau sebesar -75.81% dari tahun 2016.</v>
      </c>
      <c r="E2197" s="313"/>
      <c r="F2197" s="313"/>
      <c r="G2197" s="313"/>
      <c r="H2197" s="313"/>
      <c r="I2197" s="313"/>
      <c r="J2197" s="313"/>
      <c r="K2197" s="313"/>
      <c r="L2197" s="313"/>
      <c r="M2197" s="313"/>
      <c r="N2197" s="313"/>
      <c r="O2197" s="313"/>
      <c r="P2197" s="313"/>
      <c r="Q2197" s="313"/>
      <c r="R2197" s="313"/>
      <c r="S2197" s="313"/>
      <c r="T2197" s="313"/>
      <c r="U2197" s="313"/>
      <c r="V2197" s="27"/>
    </row>
    <row r="2198" spans="1:22" s="20" customFormat="1" ht="66" customHeight="1">
      <c r="A2198" s="18"/>
      <c r="C2198" s="37"/>
      <c r="D2198" s="313" t="s">
        <v>894</v>
      </c>
      <c r="E2198" s="313"/>
      <c r="F2198" s="313"/>
      <c r="G2198" s="313"/>
      <c r="H2198" s="313"/>
      <c r="I2198" s="313"/>
      <c r="J2198" s="313"/>
      <c r="K2198" s="313"/>
      <c r="L2198" s="313"/>
      <c r="M2198" s="313"/>
      <c r="N2198" s="313"/>
      <c r="O2198" s="313"/>
      <c r="P2198" s="313"/>
      <c r="Q2198" s="313"/>
      <c r="R2198" s="313"/>
      <c r="S2198" s="313"/>
      <c r="T2198" s="313"/>
      <c r="U2198" s="313"/>
      <c r="V2198" s="27"/>
    </row>
    <row r="2199" spans="1:22" s="20" customFormat="1" ht="40.5" customHeight="1">
      <c r="A2199" s="18"/>
      <c r="C2199" s="37"/>
      <c r="D2199" s="313" t="str">
        <f>"Rincian Beban Barang untuk Diserahkan kepada Masyarakat untuk Tahun "&amp;'[1]2.ISIAN DATA SKPD'!D11&amp;" adalah sebagai berikut: "</f>
        <v xml:space="preserve">Rincian Beban Barang untuk Diserahkan kepada Masyarakat untuk Tahun 2017 adalah sebagai berikut: </v>
      </c>
      <c r="E2199" s="313"/>
      <c r="F2199" s="313"/>
      <c r="G2199" s="313"/>
      <c r="H2199" s="313"/>
      <c r="I2199" s="313"/>
      <c r="J2199" s="313"/>
      <c r="K2199" s="313"/>
      <c r="L2199" s="313"/>
      <c r="M2199" s="313"/>
      <c r="N2199" s="313"/>
      <c r="O2199" s="313"/>
      <c r="P2199" s="313"/>
      <c r="Q2199" s="313"/>
      <c r="R2199" s="313"/>
      <c r="S2199" s="313"/>
      <c r="T2199" s="313"/>
      <c r="U2199" s="313"/>
      <c r="V2199" s="27"/>
    </row>
    <row r="2200" spans="1:22" s="20" customFormat="1" ht="13.5" customHeight="1">
      <c r="A2200" s="18"/>
      <c r="C2200" s="37"/>
      <c r="D2200" s="285"/>
      <c r="E2200" s="285"/>
      <c r="F2200" s="285"/>
      <c r="G2200" s="285"/>
      <c r="H2200" s="285"/>
      <c r="I2200" s="285"/>
      <c r="J2200" s="285"/>
      <c r="K2200" s="285"/>
      <c r="L2200" s="285"/>
      <c r="M2200" s="285"/>
      <c r="N2200" s="285"/>
      <c r="O2200" s="285"/>
      <c r="P2200" s="285"/>
      <c r="Q2200" s="285"/>
      <c r="R2200" s="285"/>
      <c r="S2200" s="285"/>
      <c r="T2200" s="285"/>
      <c r="U2200" s="285"/>
      <c r="V2200" s="27"/>
    </row>
    <row r="2201" spans="1:22" s="20" customFormat="1" ht="19.5" customHeight="1">
      <c r="A2201" s="18"/>
      <c r="C2201" s="416"/>
      <c r="D2201" s="1128" t="str">
        <f>" Beban Hibah  Tahun "&amp;'[1]2.ISIAN DATA SKPD'!D11&amp;""</f>
        <v xml:space="preserve"> Beban Hibah  Tahun 2017</v>
      </c>
      <c r="E2201" s="1128"/>
      <c r="F2201" s="1128"/>
      <c r="G2201" s="1128"/>
      <c r="H2201" s="1128"/>
      <c r="I2201" s="1128"/>
      <c r="J2201" s="1128"/>
      <c r="K2201" s="1128"/>
      <c r="L2201" s="1128"/>
      <c r="M2201" s="1128"/>
      <c r="N2201" s="1128"/>
      <c r="O2201" s="1128"/>
      <c r="P2201" s="1128"/>
      <c r="Q2201" s="1128"/>
      <c r="R2201" s="1128"/>
      <c r="S2201" s="416"/>
      <c r="T2201" s="416"/>
      <c r="U2201" s="416"/>
      <c r="V2201" s="27"/>
    </row>
    <row r="2202" spans="1:22" s="20" customFormat="1" ht="22.5" customHeight="1">
      <c r="A2202" s="18"/>
      <c r="B2202" s="1091"/>
      <c r="C2202" s="1091"/>
      <c r="D2202" s="303" t="s">
        <v>84</v>
      </c>
      <c r="E2202" s="304"/>
      <c r="F2202" s="304"/>
      <c r="G2202" s="304"/>
      <c r="H2202" s="304"/>
      <c r="I2202" s="304"/>
      <c r="J2202" s="304"/>
      <c r="K2202" s="305"/>
      <c r="L2202" s="132" t="s">
        <v>143</v>
      </c>
      <c r="M2202" s="132"/>
      <c r="N2202" s="132"/>
      <c r="O2202" s="132"/>
      <c r="P2202" s="132"/>
      <c r="Q2202" s="132"/>
      <c r="R2202" s="132"/>
      <c r="S2202" s="1091"/>
      <c r="T2202" s="1109"/>
      <c r="U2202" s="1109"/>
      <c r="V2202" s="27"/>
    </row>
    <row r="2203" spans="1:22" s="20" customFormat="1" ht="39" customHeight="1">
      <c r="A2203" s="7"/>
      <c r="B2203" s="567"/>
      <c r="C2203" s="609"/>
      <c r="D2203" s="1110" t="s">
        <v>895</v>
      </c>
      <c r="E2203" s="1111"/>
      <c r="F2203" s="1111"/>
      <c r="G2203" s="1111"/>
      <c r="H2203" s="1111"/>
      <c r="I2203" s="1111"/>
      <c r="J2203" s="1111"/>
      <c r="K2203" s="1112"/>
      <c r="L2203" s="940">
        <f>'[1]5.LO'!E385</f>
        <v>0</v>
      </c>
      <c r="M2203" s="941"/>
      <c r="N2203" s="941"/>
      <c r="O2203" s="941"/>
      <c r="P2203" s="941"/>
      <c r="Q2203" s="941"/>
      <c r="R2203" s="942"/>
      <c r="S2203" s="1101"/>
      <c r="T2203" s="518"/>
      <c r="U2203" s="518"/>
      <c r="V2203" s="27"/>
    </row>
    <row r="2204" spans="1:22" s="20" customFormat="1" ht="42" customHeight="1">
      <c r="A2204" s="7"/>
      <c r="B2204" s="567"/>
      <c r="C2204" s="609"/>
      <c r="D2204" s="1110" t="s">
        <v>896</v>
      </c>
      <c r="E2204" s="1111"/>
      <c r="F2204" s="1111"/>
      <c r="G2204" s="1111"/>
      <c r="H2204" s="1111"/>
      <c r="I2204" s="1111"/>
      <c r="J2204" s="1111"/>
      <c r="K2204" s="1112"/>
      <c r="L2204" s="940">
        <f>'[1]5.LO'!E387</f>
        <v>0</v>
      </c>
      <c r="M2204" s="941"/>
      <c r="N2204" s="941"/>
      <c r="O2204" s="941"/>
      <c r="P2204" s="941"/>
      <c r="Q2204" s="941"/>
      <c r="R2204" s="942"/>
      <c r="S2204" s="1101"/>
      <c r="T2204" s="518"/>
      <c r="U2204" s="518"/>
      <c r="V2204" s="27"/>
    </row>
    <row r="2205" spans="1:22" s="20" customFormat="1" ht="47.25" customHeight="1">
      <c r="A2205" s="7"/>
      <c r="B2205" s="567"/>
      <c r="C2205" s="609"/>
      <c r="D2205" s="1110" t="s">
        <v>897</v>
      </c>
      <c r="E2205" s="1111"/>
      <c r="F2205" s="1111"/>
      <c r="G2205" s="1111"/>
      <c r="H2205" s="1111"/>
      <c r="I2205" s="1111"/>
      <c r="J2205" s="1111"/>
      <c r="K2205" s="1112"/>
      <c r="L2205" s="940">
        <f>'[1]5.LO'!E389</f>
        <v>0</v>
      </c>
      <c r="M2205" s="941"/>
      <c r="N2205" s="941"/>
      <c r="O2205" s="941"/>
      <c r="P2205" s="941"/>
      <c r="Q2205" s="941"/>
      <c r="R2205" s="942"/>
      <c r="S2205" s="1101"/>
      <c r="T2205" s="518"/>
      <c r="U2205" s="518"/>
      <c r="V2205" s="27"/>
    </row>
    <row r="2206" spans="1:22" s="20" customFormat="1" ht="28.35" customHeight="1">
      <c r="A2206" s="7"/>
      <c r="B2206" s="567"/>
      <c r="C2206" s="609"/>
      <c r="D2206" s="1110" t="s">
        <v>898</v>
      </c>
      <c r="E2206" s="1111"/>
      <c r="F2206" s="1111"/>
      <c r="G2206" s="1111"/>
      <c r="H2206" s="1111"/>
      <c r="I2206" s="1111"/>
      <c r="J2206" s="1111"/>
      <c r="K2206" s="1112"/>
      <c r="L2206" s="940">
        <f>'[1]5.LO'!E393</f>
        <v>0</v>
      </c>
      <c r="M2206" s="941"/>
      <c r="N2206" s="941"/>
      <c r="O2206" s="941"/>
      <c r="P2206" s="941"/>
      <c r="Q2206" s="941"/>
      <c r="R2206" s="942"/>
      <c r="S2206" s="1101"/>
      <c r="T2206" s="518"/>
      <c r="U2206" s="518"/>
      <c r="V2206" s="27"/>
    </row>
    <row r="2207" spans="1:22" s="20" customFormat="1" ht="45" customHeight="1">
      <c r="A2207" s="7"/>
      <c r="B2207" s="567"/>
      <c r="C2207" s="609"/>
      <c r="D2207" s="1110" t="s">
        <v>899</v>
      </c>
      <c r="E2207" s="1111"/>
      <c r="F2207" s="1111"/>
      <c r="G2207" s="1111"/>
      <c r="H2207" s="1111"/>
      <c r="I2207" s="1111"/>
      <c r="J2207" s="1111"/>
      <c r="K2207" s="1112"/>
      <c r="L2207" s="940">
        <f>'[1]5.LO'!E395</f>
        <v>272054200</v>
      </c>
      <c r="M2207" s="941"/>
      <c r="N2207" s="941"/>
      <c r="O2207" s="941"/>
      <c r="P2207" s="941"/>
      <c r="Q2207" s="941"/>
      <c r="R2207" s="942"/>
      <c r="S2207" s="1101"/>
      <c r="T2207" s="518"/>
      <c r="U2207" s="518"/>
      <c r="V2207" s="27"/>
    </row>
    <row r="2208" spans="1:22" s="20" customFormat="1" ht="28.35" customHeight="1">
      <c r="A2208" s="14"/>
      <c r="B2208" s="567"/>
      <c r="C2208" s="567"/>
      <c r="D2208" s="1125" t="s">
        <v>900</v>
      </c>
      <c r="E2208" s="1126"/>
      <c r="F2208" s="1126"/>
      <c r="G2208" s="1126"/>
      <c r="H2208" s="1126"/>
      <c r="I2208" s="1126"/>
      <c r="J2208" s="1126"/>
      <c r="K2208" s="1127"/>
      <c r="L2208" s="994">
        <f>SUM(L2203:R2207)</f>
        <v>272054200</v>
      </c>
      <c r="M2208" s="995"/>
      <c r="N2208" s="995"/>
      <c r="O2208" s="995"/>
      <c r="P2208" s="995"/>
      <c r="Q2208" s="995"/>
      <c r="R2208" s="996"/>
      <c r="S2208" s="567"/>
      <c r="T2208" s="518"/>
      <c r="U2208" s="518"/>
      <c r="V2208" s="27"/>
    </row>
    <row r="2209" spans="1:22" s="20" customFormat="1" ht="18" customHeight="1">
      <c r="A2209" s="18"/>
      <c r="B2209" s="126"/>
      <c r="C2209" s="126"/>
      <c r="D2209" s="126"/>
      <c r="E2209" s="126"/>
      <c r="F2209" s="126"/>
      <c r="G2209" s="126"/>
      <c r="H2209" s="126"/>
      <c r="I2209" s="126"/>
      <c r="J2209" s="483"/>
      <c r="K2209" s="126"/>
      <c r="L2209" s="126"/>
      <c r="M2209" s="126"/>
      <c r="N2209" s="126"/>
      <c r="O2209" s="483"/>
      <c r="P2209" s="126"/>
      <c r="Q2209" s="126"/>
      <c r="R2209" s="126"/>
      <c r="S2209" s="126"/>
      <c r="T2209" s="128"/>
      <c r="U2209" s="128"/>
      <c r="V2209" s="27"/>
    </row>
    <row r="2210" spans="1:22" s="20" customFormat="1" ht="25.5" customHeight="1">
      <c r="A2210" s="18"/>
      <c r="B2210" s="982"/>
      <c r="C2210" s="1089" t="s">
        <v>901</v>
      </c>
      <c r="D2210" s="1062" t="s">
        <v>902</v>
      </c>
      <c r="E2210" s="1062"/>
      <c r="F2210" s="1062"/>
      <c r="G2210" s="1062"/>
      <c r="H2210" s="1062"/>
      <c r="I2210" s="1062"/>
      <c r="J2210" s="1062"/>
      <c r="K2210" s="1062"/>
      <c r="L2210" s="1062"/>
      <c r="M2210" s="1062"/>
      <c r="N2210" s="1062"/>
      <c r="O2210" s="1062"/>
      <c r="P2210" s="1062"/>
      <c r="Q2210" s="1062"/>
      <c r="R2210" s="1062"/>
      <c r="S2210" s="1062"/>
      <c r="T2210" s="1062"/>
      <c r="U2210" s="1062"/>
      <c r="V2210" s="27"/>
    </row>
    <row r="2211" spans="1:22" s="20" customFormat="1" ht="66" customHeight="1">
      <c r="A2211" s="18"/>
      <c r="C2211" s="37"/>
      <c r="D2211" s="313" t="str">
        <f>"Beban Bantuan Sosial Tahun "&amp;'[1]2.ISIAN DATA SKPD'!D11&amp;" dan tahun "&amp;('[1]2.ISIAN DATA SKPD'!D12)&amp;"  adalah masing-masing sebesar Rp. "&amp;FIXED(J1940)&amp;" dan "&amp;FIXED(P1940)&amp;" mengalami kenaikan/penurunan sebesar Rp. "&amp;FIXED(AC1940)&amp;" atau sebesar "&amp;FIXED(Y1940)&amp;"% dari tahun "&amp;'[1]2.ISIAN DATA SKPD'!D12&amp;"."</f>
        <v>Beban Bantuan Sosial Tahun 2017 dan tahun 2016  adalah masing-masing sebesar Rp. 0.00 dan 0.00 mengalami kenaikan/penurunan sebesar Rp. 0.00 atau sebesar 0.00% dari tahun 2016.</v>
      </c>
      <c r="E2211" s="313"/>
      <c r="F2211" s="313"/>
      <c r="G2211" s="313"/>
      <c r="H2211" s="313"/>
      <c r="I2211" s="313"/>
      <c r="J2211" s="313"/>
      <c r="K2211" s="313"/>
      <c r="L2211" s="313"/>
      <c r="M2211" s="313"/>
      <c r="N2211" s="313"/>
      <c r="O2211" s="313"/>
      <c r="P2211" s="313"/>
      <c r="Q2211" s="313"/>
      <c r="R2211" s="313"/>
      <c r="S2211" s="313"/>
      <c r="T2211" s="313"/>
      <c r="U2211" s="313"/>
      <c r="V2211" s="27"/>
    </row>
    <row r="2212" spans="1:22" s="20" customFormat="1" ht="86.25" customHeight="1">
      <c r="A2212" s="18"/>
      <c r="C2212" s="37"/>
      <c r="D2212" s="313" t="str">
        <f>"Beban bantuan sosial merupakan beban pemerintah dalam bentuk uang/barang atau jasa kepada masyarakat untuk menghindari terjadinya risiko sosial dan bersifat selektif. Rincian Beban Bantuan Sosial untuk Tahun "&amp;'[1]2.ISIAN DATA SKPD'!D11&amp;" adalah sebagai berikut: "</f>
        <v xml:space="preserve">Beban bantuan sosial merupakan beban pemerintah dalam bentuk uang/barang atau jasa kepada masyarakat untuk menghindari terjadinya risiko sosial dan bersifat selektif. Rincian Beban Bantuan Sosial untuk Tahun 2017 adalah sebagai berikut: </v>
      </c>
      <c r="E2212" s="313"/>
      <c r="F2212" s="313"/>
      <c r="G2212" s="313"/>
      <c r="H2212" s="313"/>
      <c r="I2212" s="313"/>
      <c r="J2212" s="313"/>
      <c r="K2212" s="313"/>
      <c r="L2212" s="313"/>
      <c r="M2212" s="313"/>
      <c r="N2212" s="313"/>
      <c r="O2212" s="313"/>
      <c r="P2212" s="313"/>
      <c r="Q2212" s="313"/>
      <c r="R2212" s="313"/>
      <c r="S2212" s="313"/>
      <c r="T2212" s="313"/>
      <c r="U2212" s="313"/>
      <c r="V2212" s="27"/>
    </row>
    <row r="2213" spans="1:22" s="20" customFormat="1" ht="12.75" customHeight="1">
      <c r="A2213" s="18"/>
      <c r="C2213" s="37"/>
      <c r="D2213" s="285"/>
      <c r="E2213" s="285"/>
      <c r="F2213" s="285"/>
      <c r="G2213" s="285"/>
      <c r="H2213" s="285"/>
      <c r="I2213" s="285"/>
      <c r="J2213" s="285"/>
      <c r="K2213" s="285"/>
      <c r="L2213" s="285"/>
      <c r="M2213" s="285"/>
      <c r="N2213" s="285"/>
      <c r="O2213" s="285"/>
      <c r="P2213" s="285"/>
      <c r="Q2213" s="285"/>
      <c r="R2213" s="285"/>
      <c r="S2213" s="285"/>
      <c r="T2213" s="285"/>
      <c r="U2213" s="285"/>
      <c r="V2213" s="27"/>
    </row>
    <row r="2214" spans="1:22" s="20" customFormat="1" ht="21.75" customHeight="1">
      <c r="A2214" s="18"/>
      <c r="C2214" s="1106"/>
      <c r="D2214" s="407" t="str">
        <f>"Rincian Beban Bantuan Sosial Tahun "&amp;'[1]2.ISIAN DATA SKPD'!D11&amp;""</f>
        <v>Rincian Beban Bantuan Sosial Tahun 2017</v>
      </c>
      <c r="E2214" s="407"/>
      <c r="F2214" s="407"/>
      <c r="G2214" s="407"/>
      <c r="H2214" s="407"/>
      <c r="I2214" s="407"/>
      <c r="J2214" s="407"/>
      <c r="K2214" s="407"/>
      <c r="L2214" s="407"/>
      <c r="M2214" s="407"/>
      <c r="N2214" s="407"/>
      <c r="O2214" s="407"/>
      <c r="P2214" s="407"/>
      <c r="Q2214" s="407"/>
      <c r="R2214" s="407"/>
      <c r="S2214" s="1106"/>
      <c r="T2214" s="1106"/>
      <c r="U2214" s="1106"/>
      <c r="V2214" s="27"/>
    </row>
    <row r="2215" spans="1:22" s="20" customFormat="1" ht="30" customHeight="1">
      <c r="A2215" s="18"/>
      <c r="B2215" s="1129"/>
      <c r="C2215" s="1129"/>
      <c r="D2215" s="303" t="s">
        <v>84</v>
      </c>
      <c r="E2215" s="304"/>
      <c r="F2215" s="304"/>
      <c r="G2215" s="304"/>
      <c r="H2215" s="304"/>
      <c r="I2215" s="304"/>
      <c r="J2215" s="304"/>
      <c r="K2215" s="305"/>
      <c r="L2215" s="132" t="s">
        <v>143</v>
      </c>
      <c r="M2215" s="132"/>
      <c r="N2215" s="132"/>
      <c r="O2215" s="132"/>
      <c r="P2215" s="132"/>
      <c r="Q2215" s="132"/>
      <c r="R2215" s="132"/>
      <c r="S2215" s="1129"/>
      <c r="T2215" s="1129"/>
      <c r="U2215" s="1129"/>
      <c r="V2215" s="27"/>
    </row>
    <row r="2216" spans="1:22" s="20" customFormat="1" ht="65.25" customHeight="1">
      <c r="A2216" s="18"/>
      <c r="B2216" s="1129"/>
      <c r="C2216" s="1129"/>
      <c r="D2216" s="1110" t="s">
        <v>903</v>
      </c>
      <c r="E2216" s="1111"/>
      <c r="F2216" s="1111"/>
      <c r="G2216" s="1111"/>
      <c r="H2216" s="1111"/>
      <c r="I2216" s="1111"/>
      <c r="J2216" s="1111"/>
      <c r="K2216" s="1112"/>
      <c r="L2216" s="940">
        <f>'[1]5.LO'!E400</f>
        <v>0</v>
      </c>
      <c r="M2216" s="941"/>
      <c r="N2216" s="941"/>
      <c r="O2216" s="941"/>
      <c r="P2216" s="941"/>
      <c r="Q2216" s="941"/>
      <c r="R2216" s="942"/>
      <c r="S2216" s="1129"/>
      <c r="T2216" s="1129"/>
      <c r="U2216" s="1129"/>
      <c r="V2216" s="27"/>
    </row>
    <row r="2217" spans="1:22" s="20" customFormat="1" ht="66.75" customHeight="1">
      <c r="A2217" s="30"/>
      <c r="B2217" s="1120"/>
      <c r="C2217" s="1121"/>
      <c r="D2217" s="1110" t="s">
        <v>904</v>
      </c>
      <c r="E2217" s="1111"/>
      <c r="F2217" s="1111"/>
      <c r="G2217" s="1111"/>
      <c r="H2217" s="1111"/>
      <c r="I2217" s="1111"/>
      <c r="J2217" s="1111"/>
      <c r="K2217" s="1112"/>
      <c r="L2217" s="940">
        <f>'[1]5.LO'!E403</f>
        <v>0</v>
      </c>
      <c r="M2217" s="941"/>
      <c r="N2217" s="941"/>
      <c r="O2217" s="941"/>
      <c r="P2217" s="941"/>
      <c r="Q2217" s="941"/>
      <c r="R2217" s="942"/>
      <c r="S2217" s="814"/>
      <c r="T2217" s="518"/>
      <c r="U2217" s="518"/>
      <c r="V2217" s="27"/>
    </row>
    <row r="2218" spans="1:22" s="20" customFormat="1" ht="34.5" customHeight="1">
      <c r="A2218" s="30"/>
      <c r="B2218" s="1120"/>
      <c r="C2218" s="1121"/>
      <c r="D2218" s="1125" t="s">
        <v>905</v>
      </c>
      <c r="E2218" s="1126"/>
      <c r="F2218" s="1126"/>
      <c r="G2218" s="1126"/>
      <c r="H2218" s="1126"/>
      <c r="I2218" s="1126"/>
      <c r="J2218" s="1126"/>
      <c r="K2218" s="1127"/>
      <c r="L2218" s="994">
        <f>SUM(L2216:R2217)</f>
        <v>0</v>
      </c>
      <c r="M2218" s="995"/>
      <c r="N2218" s="995"/>
      <c r="O2218" s="995"/>
      <c r="P2218" s="995"/>
      <c r="Q2218" s="995"/>
      <c r="R2218" s="996"/>
      <c r="S2218" s="814"/>
      <c r="T2218" s="518"/>
      <c r="U2218" s="518"/>
      <c r="V2218" s="27"/>
    </row>
    <row r="2219" spans="1:22" s="20" customFormat="1" ht="18.75" customHeight="1">
      <c r="A2219" s="18"/>
      <c r="B2219" s="567"/>
      <c r="C2219" s="567"/>
      <c r="D2219" s="567"/>
      <c r="E2219" s="567"/>
      <c r="F2219" s="567"/>
      <c r="G2219" s="567"/>
      <c r="H2219" s="567"/>
      <c r="I2219" s="567"/>
      <c r="J2219" s="814"/>
      <c r="K2219" s="814"/>
      <c r="L2219" s="814"/>
      <c r="M2219" s="814"/>
      <c r="N2219" s="814"/>
      <c r="O2219" s="814"/>
      <c r="P2219" s="814"/>
      <c r="Q2219" s="814"/>
      <c r="R2219" s="814"/>
      <c r="S2219" s="814"/>
      <c r="T2219" s="518"/>
      <c r="U2219" s="518"/>
      <c r="V2219" s="27"/>
    </row>
    <row r="2220" spans="1:22" s="20" customFormat="1" ht="33" customHeight="1">
      <c r="A2220" s="18"/>
      <c r="B2220" s="982"/>
      <c r="C2220" s="1089" t="s">
        <v>906</v>
      </c>
      <c r="D2220" s="1062" t="s">
        <v>907</v>
      </c>
      <c r="E2220" s="1062"/>
      <c r="F2220" s="1062"/>
      <c r="G2220" s="1062"/>
      <c r="H2220" s="1062"/>
      <c r="I2220" s="1062"/>
      <c r="J2220" s="1062"/>
      <c r="K2220" s="1062"/>
      <c r="L2220" s="1062"/>
      <c r="M2220" s="1062"/>
      <c r="N2220" s="1062"/>
      <c r="O2220" s="1062"/>
      <c r="P2220" s="1062"/>
      <c r="Q2220" s="1062"/>
      <c r="R2220" s="1062"/>
      <c r="S2220" s="1062"/>
      <c r="T2220" s="1062"/>
      <c r="U2220" s="1062"/>
      <c r="V2220" s="27"/>
    </row>
    <row r="2221" spans="1:22" s="20" customFormat="1" ht="80.25" customHeight="1">
      <c r="A2221" s="18"/>
      <c r="C2221" s="37"/>
      <c r="D2221" s="313" t="str">
        <f>"Jumlah Beban Penyusutan dan Amortisasi untuk Tahun "&amp;'[1]2.ISIAN DATA SKPD'!D11&amp;" dan tahun "&amp;'[1]2.ISIAN DATA SKPD'!D12&amp;" masing-masing sebesar Rp. "&amp;FIXED(J1941)&amp;" dan "&amp;FIXED(P1941)&amp;" mengalami kenaikan/penurunan sebesar Rp. "&amp;FIXED(AC1941)&amp;" atau sebesar "&amp;FIXED(Y1941)&amp;"% dari tahun "&amp;'[1]2.ISIAN DATA SKPD'!D12&amp;" ."</f>
        <v>Jumlah Beban Penyusutan dan Amortisasi untuk Tahun 2017 dan tahun 2016 masing-masing sebesar Rp. 103,946,543,717.00 dan 22,153,737,064.24 mengalami kenaikan/penurunan sebesar Rp. 81,792,806,652.76 atau sebesar 369.21% dari tahun 2016 .</v>
      </c>
      <c r="E2221" s="313"/>
      <c r="F2221" s="313"/>
      <c r="G2221" s="313"/>
      <c r="H2221" s="313"/>
      <c r="I2221" s="313"/>
      <c r="J2221" s="313"/>
      <c r="K2221" s="313"/>
      <c r="L2221" s="313"/>
      <c r="M2221" s="313"/>
      <c r="N2221" s="313"/>
      <c r="O2221" s="313"/>
      <c r="P2221" s="313"/>
      <c r="Q2221" s="313"/>
      <c r="R2221" s="313"/>
      <c r="S2221" s="313"/>
      <c r="T2221" s="313"/>
      <c r="U2221" s="313"/>
      <c r="V2221" s="27"/>
    </row>
    <row r="2222" spans="1:22" s="20" customFormat="1" ht="69" customHeight="1">
      <c r="A2222" s="18"/>
      <c r="C2222" s="37"/>
      <c r="D2222" s="313" t="s">
        <v>908</v>
      </c>
      <c r="E2222" s="313"/>
      <c r="F2222" s="313"/>
      <c r="G2222" s="313"/>
      <c r="H2222" s="313"/>
      <c r="I2222" s="313"/>
      <c r="J2222" s="313"/>
      <c r="K2222" s="313"/>
      <c r="L2222" s="313"/>
      <c r="M2222" s="313"/>
      <c r="N2222" s="313"/>
      <c r="O2222" s="313"/>
      <c r="P2222" s="313"/>
      <c r="Q2222" s="313"/>
      <c r="R2222" s="313"/>
      <c r="S2222" s="313"/>
      <c r="T2222" s="313"/>
      <c r="U2222" s="313"/>
      <c r="V2222" s="27"/>
    </row>
    <row r="2223" spans="1:22" s="20" customFormat="1" ht="66.75" customHeight="1">
      <c r="A2223" s="18"/>
      <c r="C2223" s="37"/>
      <c r="D2223" s="313" t="str">
        <f>"Sedangkan Beban Amortisasi digunakan untuk mencatat alokasi penurunan manfaat ekonomi untuk Aset Tak berwujud. Rincian Beban Penyusutan dan Amortisasi untuk tahun "&amp;'[1]2.ISIAN DATA SKPD'!D11&amp;" adalah sebagai berikut: "</f>
        <v xml:space="preserve">Sedangkan Beban Amortisasi digunakan untuk mencatat alokasi penurunan manfaat ekonomi untuk Aset Tak berwujud. Rincian Beban Penyusutan dan Amortisasi untuk tahun 2017 adalah sebagai berikut: </v>
      </c>
      <c r="E2223" s="313"/>
      <c r="F2223" s="313"/>
      <c r="G2223" s="313"/>
      <c r="H2223" s="313"/>
      <c r="I2223" s="313"/>
      <c r="J2223" s="313"/>
      <c r="K2223" s="313"/>
      <c r="L2223" s="313"/>
      <c r="M2223" s="313"/>
      <c r="N2223" s="313"/>
      <c r="O2223" s="313"/>
      <c r="P2223" s="313"/>
      <c r="Q2223" s="313"/>
      <c r="R2223" s="313"/>
      <c r="S2223" s="313"/>
      <c r="T2223" s="313"/>
      <c r="U2223" s="313"/>
      <c r="V2223" s="27"/>
    </row>
    <row r="2224" spans="1:22" s="20" customFormat="1" ht="37.5" customHeight="1">
      <c r="A2224" s="18"/>
      <c r="C2224" s="1106"/>
      <c r="D2224" s="460" t="str">
        <f>"Rincian Beban Penyusutan dan Amortisasi Tahun "&amp;'[1]2.ISIAN DATA SKPD'!D11&amp;""</f>
        <v>Rincian Beban Penyusutan dan Amortisasi Tahun 2017</v>
      </c>
      <c r="E2224" s="460"/>
      <c r="F2224" s="460"/>
      <c r="G2224" s="460"/>
      <c r="H2224" s="460"/>
      <c r="I2224" s="460"/>
      <c r="J2224" s="460"/>
      <c r="K2224" s="460"/>
      <c r="L2224" s="460"/>
      <c r="M2224" s="460"/>
      <c r="N2224" s="460"/>
      <c r="O2224" s="460"/>
      <c r="P2224" s="460"/>
      <c r="Q2224" s="460"/>
      <c r="R2224" s="460"/>
      <c r="S2224" s="460"/>
      <c r="T2224" s="460"/>
      <c r="U2224" s="460"/>
      <c r="V2224" s="27"/>
    </row>
    <row r="2225" spans="1:22" s="20" customFormat="1" ht="24.75" customHeight="1">
      <c r="A2225" s="18"/>
      <c r="B2225" s="1091"/>
      <c r="C2225" s="1091"/>
      <c r="D2225" s="303" t="s">
        <v>84</v>
      </c>
      <c r="E2225" s="304"/>
      <c r="F2225" s="304"/>
      <c r="G2225" s="304"/>
      <c r="H2225" s="304"/>
      <c r="I2225" s="304"/>
      <c r="J2225" s="304"/>
      <c r="K2225" s="305"/>
      <c r="L2225" s="132" t="s">
        <v>143</v>
      </c>
      <c r="M2225" s="132"/>
      <c r="N2225" s="132"/>
      <c r="O2225" s="132"/>
      <c r="P2225" s="132"/>
      <c r="Q2225" s="132"/>
      <c r="R2225" s="132"/>
      <c r="S2225" s="1091"/>
      <c r="T2225" s="1109"/>
      <c r="U2225" s="1109"/>
      <c r="V2225" s="27"/>
    </row>
    <row r="2226" spans="1:22" s="20" customFormat="1" ht="35.25" customHeight="1">
      <c r="A2226" s="18"/>
      <c r="B2226" s="1120"/>
      <c r="C2226" s="1121"/>
      <c r="D2226" s="1110" t="s">
        <v>909</v>
      </c>
      <c r="E2226" s="1111"/>
      <c r="F2226" s="1111"/>
      <c r="G2226" s="1111"/>
      <c r="H2226" s="1111"/>
      <c r="I2226" s="1111"/>
      <c r="J2226" s="1111"/>
      <c r="K2226" s="1112"/>
      <c r="L2226" s="940">
        <f>'[1]5.LO'!E406</f>
        <v>814197589</v>
      </c>
      <c r="M2226" s="941"/>
      <c r="N2226" s="941"/>
      <c r="O2226" s="941"/>
      <c r="P2226" s="941"/>
      <c r="Q2226" s="941"/>
      <c r="R2226" s="942"/>
      <c r="S2226" s="1101"/>
      <c r="T2226" s="518"/>
      <c r="U2226" s="518"/>
      <c r="V2226" s="27"/>
    </row>
    <row r="2227" spans="1:22" s="20" customFormat="1" ht="39" customHeight="1">
      <c r="A2227" s="18"/>
      <c r="B2227" s="1120"/>
      <c r="C2227" s="1121"/>
      <c r="D2227" s="1110" t="s">
        <v>910</v>
      </c>
      <c r="E2227" s="1111"/>
      <c r="F2227" s="1111"/>
      <c r="G2227" s="1111"/>
      <c r="H2227" s="1111"/>
      <c r="I2227" s="1111"/>
      <c r="J2227" s="1111"/>
      <c r="K2227" s="1112"/>
      <c r="L2227" s="940">
        <f>'[1]5.LO'!E407</f>
        <v>176939719</v>
      </c>
      <c r="M2227" s="941"/>
      <c r="N2227" s="941"/>
      <c r="O2227" s="941"/>
      <c r="P2227" s="941"/>
      <c r="Q2227" s="941"/>
      <c r="R2227" s="942"/>
      <c r="S2227" s="1101"/>
      <c r="T2227" s="518"/>
      <c r="U2227" s="518"/>
      <c r="V2227" s="27"/>
    </row>
    <row r="2228" spans="1:22" s="20" customFormat="1" ht="41.25" customHeight="1">
      <c r="A2228" s="18"/>
      <c r="B2228" s="1120"/>
      <c r="C2228" s="1121"/>
      <c r="D2228" s="1110" t="s">
        <v>911</v>
      </c>
      <c r="E2228" s="1111"/>
      <c r="F2228" s="1111"/>
      <c r="G2228" s="1111"/>
      <c r="H2228" s="1111"/>
      <c r="I2228" s="1111"/>
      <c r="J2228" s="1111"/>
      <c r="K2228" s="1112"/>
      <c r="L2228" s="940">
        <f>'[1]5.LO'!E408</f>
        <v>102955406409</v>
      </c>
      <c r="M2228" s="941"/>
      <c r="N2228" s="941"/>
      <c r="O2228" s="941"/>
      <c r="P2228" s="941"/>
      <c r="Q2228" s="941"/>
      <c r="R2228" s="942"/>
      <c r="S2228" s="1101"/>
      <c r="T2228" s="518"/>
      <c r="U2228" s="518"/>
      <c r="V2228" s="27"/>
    </row>
    <row r="2229" spans="1:22" s="20" customFormat="1" ht="28.5" customHeight="1">
      <c r="A2229" s="18"/>
      <c r="B2229" s="1120"/>
      <c r="C2229" s="1121"/>
      <c r="D2229" s="1110" t="s">
        <v>912</v>
      </c>
      <c r="E2229" s="1111"/>
      <c r="F2229" s="1111"/>
      <c r="G2229" s="1111"/>
      <c r="H2229" s="1111"/>
      <c r="I2229" s="1111"/>
      <c r="J2229" s="1111"/>
      <c r="K2229" s="1112"/>
      <c r="L2229" s="940">
        <f>'[1]5.LO'!E409</f>
        <v>0</v>
      </c>
      <c r="M2229" s="941"/>
      <c r="N2229" s="941"/>
      <c r="O2229" s="941"/>
      <c r="P2229" s="941"/>
      <c r="Q2229" s="941"/>
      <c r="R2229" s="942"/>
      <c r="S2229" s="1101"/>
      <c r="T2229" s="518"/>
      <c r="U2229" s="518"/>
      <c r="V2229" s="27"/>
    </row>
    <row r="2230" spans="1:22" s="20" customFormat="1" ht="28.5" customHeight="1">
      <c r="A2230" s="25"/>
      <c r="B2230" s="1120"/>
      <c r="C2230" s="1121"/>
      <c r="D2230" s="1125" t="s">
        <v>913</v>
      </c>
      <c r="E2230" s="1126"/>
      <c r="F2230" s="1126"/>
      <c r="G2230" s="1126"/>
      <c r="H2230" s="1126"/>
      <c r="I2230" s="1126"/>
      <c r="J2230" s="1126"/>
      <c r="K2230" s="1127"/>
      <c r="L2230" s="994">
        <f>SUM(L2226:R2229)</f>
        <v>103946543717</v>
      </c>
      <c r="M2230" s="995"/>
      <c r="N2230" s="995"/>
      <c r="O2230" s="995"/>
      <c r="P2230" s="995"/>
      <c r="Q2230" s="995"/>
      <c r="R2230" s="996"/>
      <c r="S2230" s="1101"/>
      <c r="T2230" s="518"/>
      <c r="U2230" s="518"/>
      <c r="V2230" s="27"/>
    </row>
    <row r="2231" spans="1:22" s="20" customFormat="1" ht="15.75" customHeight="1">
      <c r="A2231" s="25"/>
      <c r="B2231" s="1120"/>
      <c r="C2231" s="1121"/>
      <c r="D2231" s="1130"/>
      <c r="E2231" s="1130"/>
      <c r="F2231" s="1130"/>
      <c r="G2231" s="1130"/>
      <c r="H2231" s="1130"/>
      <c r="I2231" s="1130"/>
      <c r="J2231" s="1130"/>
      <c r="K2231" s="1130"/>
      <c r="L2231" s="442"/>
      <c r="M2231" s="442"/>
      <c r="N2231" s="442"/>
      <c r="O2231" s="442"/>
      <c r="P2231" s="442"/>
      <c r="Q2231" s="442"/>
      <c r="R2231" s="442"/>
      <c r="S2231" s="1101"/>
      <c r="T2231" s="518"/>
      <c r="U2231" s="518"/>
      <c r="V2231" s="27"/>
    </row>
    <row r="2232" spans="1:22" s="20" customFormat="1" ht="27" customHeight="1">
      <c r="A2232" s="18"/>
      <c r="B2232" s="982"/>
      <c r="C2232" s="1089" t="s">
        <v>914</v>
      </c>
      <c r="D2232" s="1062" t="s">
        <v>678</v>
      </c>
      <c r="E2232" s="1062"/>
      <c r="F2232" s="1062"/>
      <c r="G2232" s="1062"/>
      <c r="H2232" s="1062"/>
      <c r="I2232" s="1062"/>
      <c r="J2232" s="1062"/>
      <c r="K2232" s="1062"/>
      <c r="L2232" s="1062"/>
      <c r="M2232" s="1062"/>
      <c r="N2232" s="1062"/>
      <c r="O2232" s="1062"/>
      <c r="P2232" s="1062"/>
      <c r="Q2232" s="1062"/>
      <c r="R2232" s="1062"/>
      <c r="S2232" s="1062"/>
      <c r="T2232" s="1062"/>
      <c r="U2232" s="1062"/>
      <c r="V2232" s="27"/>
    </row>
    <row r="2233" spans="1:22" s="20" customFormat="1" ht="75" customHeight="1">
      <c r="A2233" s="18"/>
      <c r="C2233" s="37"/>
      <c r="D2233" s="313" t="s">
        <v>915</v>
      </c>
      <c r="E2233" s="313"/>
      <c r="F2233" s="313"/>
      <c r="G2233" s="313"/>
      <c r="H2233" s="313"/>
      <c r="I2233" s="313"/>
      <c r="J2233" s="313"/>
      <c r="K2233" s="313"/>
      <c r="L2233" s="313"/>
      <c r="M2233" s="313"/>
      <c r="N2233" s="313"/>
      <c r="O2233" s="313"/>
      <c r="P2233" s="313"/>
      <c r="Q2233" s="313"/>
      <c r="R2233" s="313"/>
      <c r="S2233" s="313"/>
      <c r="T2233" s="313"/>
      <c r="U2233" s="313"/>
      <c r="V2233" s="27"/>
    </row>
    <row r="2234" spans="1:22" s="20" customFormat="1" ht="11.25" customHeight="1">
      <c r="A2234" s="18"/>
      <c r="C2234" s="37"/>
      <c r="D2234" s="285"/>
      <c r="E2234" s="285"/>
      <c r="F2234" s="285"/>
      <c r="G2234" s="285"/>
      <c r="H2234" s="285"/>
      <c r="I2234" s="285"/>
      <c r="J2234" s="285"/>
      <c r="K2234" s="285"/>
      <c r="L2234" s="285"/>
      <c r="M2234" s="285"/>
      <c r="N2234" s="285"/>
      <c r="O2234" s="285"/>
      <c r="P2234" s="285"/>
      <c r="Q2234" s="285"/>
      <c r="R2234" s="285"/>
      <c r="S2234" s="285"/>
      <c r="T2234" s="285"/>
      <c r="U2234" s="285"/>
      <c r="V2234" s="27"/>
    </row>
    <row r="2235" spans="1:22" s="20" customFormat="1" ht="30" customHeight="1">
      <c r="A2235" s="18"/>
      <c r="C2235" s="1106"/>
      <c r="D2235" s="407" t="str">
        <f>"Rincian Beban  Transfer  Tahun "&amp;'[1]2.ISIAN DATA SKPD'!D11&amp;""</f>
        <v>Rincian Beban  Transfer  Tahun 2017</v>
      </c>
      <c r="E2235" s="407"/>
      <c r="F2235" s="407"/>
      <c r="G2235" s="407"/>
      <c r="H2235" s="407"/>
      <c r="I2235" s="407"/>
      <c r="J2235" s="407"/>
      <c r="K2235" s="407"/>
      <c r="L2235" s="407"/>
      <c r="M2235" s="407"/>
      <c r="N2235" s="407"/>
      <c r="O2235" s="407"/>
      <c r="P2235" s="407"/>
      <c r="Q2235" s="407"/>
      <c r="R2235" s="407"/>
      <c r="S2235" s="1106"/>
      <c r="T2235" s="1106"/>
      <c r="U2235" s="1106"/>
      <c r="V2235" s="27"/>
    </row>
    <row r="2236" spans="1:22" s="20" customFormat="1" ht="27.75" customHeight="1">
      <c r="A2236" s="18"/>
      <c r="C2236" s="1106"/>
      <c r="D2236" s="303" t="s">
        <v>84</v>
      </c>
      <c r="E2236" s="304"/>
      <c r="F2236" s="304"/>
      <c r="G2236" s="304"/>
      <c r="H2236" s="304"/>
      <c r="I2236" s="304"/>
      <c r="J2236" s="304"/>
      <c r="K2236" s="305"/>
      <c r="L2236" s="132" t="s">
        <v>143</v>
      </c>
      <c r="M2236" s="132"/>
      <c r="N2236" s="132"/>
      <c r="O2236" s="132"/>
      <c r="P2236" s="132"/>
      <c r="Q2236" s="132"/>
      <c r="R2236" s="132"/>
      <c r="S2236" s="1106"/>
      <c r="T2236" s="1106"/>
      <c r="U2236" s="1106"/>
      <c r="V2236" s="27"/>
    </row>
    <row r="2237" spans="1:22" s="20" customFormat="1" ht="50.25" customHeight="1">
      <c r="A2237" s="18"/>
      <c r="B2237" s="1091"/>
      <c r="C2237" s="1091"/>
      <c r="D2237" s="1110" t="s">
        <v>916</v>
      </c>
      <c r="E2237" s="1111"/>
      <c r="F2237" s="1111"/>
      <c r="G2237" s="1111"/>
      <c r="H2237" s="1111"/>
      <c r="I2237" s="1111"/>
      <c r="J2237" s="1111"/>
      <c r="K2237" s="1112"/>
      <c r="L2237" s="940">
        <f>'[1]5.LO'!E411</f>
        <v>0</v>
      </c>
      <c r="M2237" s="941"/>
      <c r="N2237" s="941"/>
      <c r="O2237" s="941"/>
      <c r="P2237" s="941"/>
      <c r="Q2237" s="941"/>
      <c r="R2237" s="942"/>
      <c r="S2237" s="1091"/>
      <c r="T2237" s="1109"/>
      <c r="U2237" s="1109"/>
      <c r="V2237" s="27"/>
    </row>
    <row r="2238" spans="1:22" s="20" customFormat="1" ht="63.75" customHeight="1">
      <c r="A2238" s="18"/>
      <c r="B2238" s="1120"/>
      <c r="C2238" s="1121"/>
      <c r="D2238" s="1110" t="s">
        <v>917</v>
      </c>
      <c r="E2238" s="1111"/>
      <c r="F2238" s="1111"/>
      <c r="G2238" s="1111"/>
      <c r="H2238" s="1111"/>
      <c r="I2238" s="1111"/>
      <c r="J2238" s="1111"/>
      <c r="K2238" s="1112"/>
      <c r="L2238" s="940">
        <f>'[1]5.LO'!E413</f>
        <v>0</v>
      </c>
      <c r="M2238" s="941"/>
      <c r="N2238" s="941"/>
      <c r="O2238" s="941"/>
      <c r="P2238" s="941"/>
      <c r="Q2238" s="941"/>
      <c r="R2238" s="942"/>
      <c r="S2238" s="1101"/>
      <c r="T2238" s="518"/>
      <c r="U2238" s="518"/>
      <c r="V2238" s="27"/>
    </row>
    <row r="2239" spans="1:22" s="20" customFormat="1" ht="30" customHeight="1">
      <c r="A2239" s="18"/>
      <c r="B2239" s="1120"/>
      <c r="C2239" s="1121"/>
      <c r="D2239" s="1110" t="s">
        <v>918</v>
      </c>
      <c r="E2239" s="1111"/>
      <c r="F2239" s="1111"/>
      <c r="G2239" s="1111"/>
      <c r="H2239" s="1111"/>
      <c r="I2239" s="1111"/>
      <c r="J2239" s="1111"/>
      <c r="K2239" s="1112"/>
      <c r="L2239" s="940">
        <f>'[1]5.LO'!E415</f>
        <v>0</v>
      </c>
      <c r="M2239" s="941"/>
      <c r="N2239" s="941"/>
      <c r="O2239" s="941"/>
      <c r="P2239" s="941"/>
      <c r="Q2239" s="941"/>
      <c r="R2239" s="942"/>
      <c r="S2239" s="1101"/>
      <c r="T2239" s="518"/>
      <c r="U2239" s="518"/>
      <c r="V2239" s="27"/>
    </row>
    <row r="2240" spans="1:22" s="20" customFormat="1" ht="42.75" customHeight="1">
      <c r="A2240" s="18"/>
      <c r="B2240" s="567"/>
      <c r="C2240" s="567"/>
      <c r="D2240" s="1110" t="s">
        <v>919</v>
      </c>
      <c r="E2240" s="1111"/>
      <c r="F2240" s="1111"/>
      <c r="G2240" s="1111"/>
      <c r="H2240" s="1111"/>
      <c r="I2240" s="1111"/>
      <c r="J2240" s="1111"/>
      <c r="K2240" s="1112"/>
      <c r="L2240" s="940">
        <f>'[1]5.LO'!E420</f>
        <v>0</v>
      </c>
      <c r="M2240" s="941"/>
      <c r="N2240" s="941"/>
      <c r="O2240" s="941"/>
      <c r="P2240" s="941"/>
      <c r="Q2240" s="941"/>
      <c r="R2240" s="942"/>
      <c r="S2240" s="1101"/>
      <c r="T2240" s="518"/>
      <c r="U2240" s="518"/>
      <c r="V2240" s="27"/>
    </row>
    <row r="2241" spans="1:25" s="20" customFormat="1" ht="38.25" customHeight="1">
      <c r="A2241" s="30"/>
      <c r="B2241" s="92"/>
      <c r="C2241" s="92"/>
      <c r="D2241" s="1125" t="s">
        <v>920</v>
      </c>
      <c r="E2241" s="1126"/>
      <c r="F2241" s="1126"/>
      <c r="G2241" s="1126"/>
      <c r="H2241" s="1126"/>
      <c r="I2241" s="1126"/>
      <c r="J2241" s="1126"/>
      <c r="K2241" s="1127"/>
      <c r="L2241" s="994">
        <f>SUM(L2237:R2240)</f>
        <v>0</v>
      </c>
      <c r="M2241" s="995"/>
      <c r="N2241" s="995"/>
      <c r="O2241" s="995"/>
      <c r="P2241" s="995"/>
      <c r="Q2241" s="995"/>
      <c r="R2241" s="996"/>
      <c r="S2241" s="92"/>
      <c r="T2241" s="1131"/>
      <c r="U2241" s="1131"/>
      <c r="V2241" s="27"/>
    </row>
    <row r="2242" spans="1:25" s="20" customFormat="1" ht="21.75" customHeight="1">
      <c r="A2242" s="30"/>
      <c r="B2242" s="27"/>
      <c r="C2242" s="27"/>
      <c r="D2242" s="27"/>
      <c r="E2242" s="27"/>
      <c r="F2242" s="27"/>
      <c r="G2242" s="27"/>
      <c r="H2242" s="27"/>
      <c r="I2242" s="27"/>
      <c r="J2242" s="27"/>
      <c r="K2242" s="27"/>
      <c r="L2242" s="27"/>
      <c r="M2242" s="27"/>
      <c r="N2242" s="27"/>
      <c r="O2242" s="27"/>
      <c r="P2242" s="27"/>
      <c r="Q2242" s="27"/>
      <c r="R2242" s="27"/>
      <c r="S2242" s="27"/>
      <c r="T2242" s="44"/>
      <c r="U2242" s="44"/>
      <c r="V2242" s="27"/>
    </row>
    <row r="2243" spans="1:25" s="20" customFormat="1" ht="34.5" customHeight="1">
      <c r="A2243" s="30"/>
      <c r="B2243" s="27"/>
      <c r="C2243" s="1089" t="s">
        <v>921</v>
      </c>
      <c r="D2243" s="1062" t="s">
        <v>922</v>
      </c>
      <c r="E2243" s="1062"/>
      <c r="F2243" s="1062"/>
      <c r="G2243" s="1062"/>
      <c r="H2243" s="1062"/>
      <c r="I2243" s="1062"/>
      <c r="J2243" s="1062"/>
      <c r="K2243" s="1062"/>
      <c r="L2243" s="1062"/>
      <c r="M2243" s="1062"/>
      <c r="N2243" s="1062"/>
      <c r="O2243" s="1062"/>
      <c r="P2243" s="1062"/>
      <c r="Q2243" s="1062"/>
      <c r="R2243" s="1062"/>
      <c r="S2243" s="1062"/>
      <c r="T2243" s="1062"/>
      <c r="U2243" s="1062"/>
      <c r="V2243" s="27"/>
    </row>
    <row r="2244" spans="1:25" s="20" customFormat="1" ht="63.75" customHeight="1">
      <c r="A2244" s="25"/>
      <c r="B2244" s="27"/>
      <c r="C2244" s="1089"/>
      <c r="D2244" s="313" t="str">
        <f>"Jumlah Beban Lain-Lain untuk Tahun "&amp;'[1]2.ISIAN DATA SKPD'!D11&amp;" dan tahun "&amp;'[1]2.ISIAN DATA SKPD'!D12&amp;" masing-masing sebesar Rp. "&amp;FIXED(J1943)&amp;" dan "&amp;FIXED(P1943)&amp;" mengalami kenaikan/penurunan sebesar Rp. "&amp;FIXED(AC1943)&amp;" atau sebesar "&amp;FIXED(Y1943)&amp;"% dari tahun "&amp;'[1]2.ISIAN DATA SKPD'!D12&amp;" ."</f>
        <v>Jumlah Beban Lain-Lain untuk Tahun 2017 dan tahun 2016 masing-masing sebesar Rp. 0.00 dan 0.00 mengalami kenaikan/penurunan sebesar Rp. 0.00 atau sebesar 0.00% dari tahun 2016 .</v>
      </c>
      <c r="E2244" s="313"/>
      <c r="F2244" s="313"/>
      <c r="G2244" s="313"/>
      <c r="H2244" s="313"/>
      <c r="I2244" s="313"/>
      <c r="J2244" s="313"/>
      <c r="K2244" s="313"/>
      <c r="L2244" s="313"/>
      <c r="M2244" s="313"/>
      <c r="N2244" s="313"/>
      <c r="O2244" s="313"/>
      <c r="P2244" s="313"/>
      <c r="Q2244" s="313"/>
      <c r="R2244" s="313"/>
      <c r="S2244" s="313"/>
      <c r="T2244" s="313"/>
      <c r="U2244" s="313"/>
      <c r="V2244" s="27"/>
      <c r="Y2244" s="1132"/>
    </row>
    <row r="2245" spans="1:25" s="20" customFormat="1" ht="107.25" customHeight="1">
      <c r="A2245" s="25"/>
      <c r="B2245" s="27"/>
      <c r="C2245" s="1089"/>
      <c r="D2245" s="428" t="s">
        <v>923</v>
      </c>
      <c r="E2245" s="428"/>
      <c r="F2245" s="428"/>
      <c r="G2245" s="428"/>
      <c r="H2245" s="428"/>
      <c r="I2245" s="428"/>
      <c r="J2245" s="428"/>
      <c r="K2245" s="428"/>
      <c r="L2245" s="428"/>
      <c r="M2245" s="428"/>
      <c r="N2245" s="428"/>
      <c r="O2245" s="428"/>
      <c r="P2245" s="428"/>
      <c r="Q2245" s="428"/>
      <c r="R2245" s="428"/>
      <c r="S2245" s="428"/>
      <c r="T2245" s="428"/>
      <c r="U2245" s="428"/>
      <c r="V2245" s="27"/>
      <c r="Y2245" s="1132"/>
    </row>
    <row r="2246" spans="1:25" s="20" customFormat="1" ht="21" customHeight="1">
      <c r="A2246" s="25"/>
      <c r="B2246" s="27"/>
      <c r="C2246" s="1089"/>
      <c r="D2246" s="407" t="str">
        <f>"Rincian Beban  Lain-Lain Tahun "&amp;'[1]2.ISIAN DATA SKPD'!D11&amp;""</f>
        <v>Rincian Beban  Lain-Lain Tahun 2017</v>
      </c>
      <c r="E2246" s="407"/>
      <c r="F2246" s="407"/>
      <c r="G2246" s="407"/>
      <c r="H2246" s="407"/>
      <c r="I2246" s="407"/>
      <c r="J2246" s="407"/>
      <c r="K2246" s="407"/>
      <c r="L2246" s="407"/>
      <c r="M2246" s="407"/>
      <c r="N2246" s="407"/>
      <c r="O2246" s="407"/>
      <c r="P2246" s="407"/>
      <c r="Q2246" s="407"/>
      <c r="R2246" s="407"/>
      <c r="S2246" s="285"/>
      <c r="T2246" s="285"/>
      <c r="U2246" s="285"/>
      <c r="V2246" s="27"/>
      <c r="Y2246" s="1132"/>
    </row>
    <row r="2247" spans="1:25" s="20" customFormat="1" ht="28.35" customHeight="1">
      <c r="A2247" s="25"/>
      <c r="B2247" s="27"/>
      <c r="C2247" s="1089"/>
      <c r="D2247" s="303" t="s">
        <v>924</v>
      </c>
      <c r="E2247" s="304"/>
      <c r="F2247" s="304"/>
      <c r="G2247" s="304"/>
      <c r="H2247" s="304"/>
      <c r="I2247" s="304"/>
      <c r="J2247" s="304"/>
      <c r="K2247" s="305"/>
      <c r="L2247" s="132" t="s">
        <v>143</v>
      </c>
      <c r="M2247" s="132"/>
      <c r="N2247" s="132"/>
      <c r="O2247" s="132"/>
      <c r="P2247" s="132"/>
      <c r="Q2247" s="132"/>
      <c r="R2247" s="132"/>
      <c r="S2247" s="1133"/>
      <c r="T2247" s="1133"/>
      <c r="U2247" s="1133"/>
      <c r="V2247" s="27"/>
      <c r="Y2247" s="1132"/>
    </row>
    <row r="2248" spans="1:25" s="20" customFormat="1" ht="28.35" customHeight="1">
      <c r="A2248" s="25"/>
      <c r="B2248" s="27"/>
      <c r="C2248" s="1089"/>
      <c r="D2248" s="1110" t="s">
        <v>925</v>
      </c>
      <c r="E2248" s="1111"/>
      <c r="F2248" s="1111"/>
      <c r="G2248" s="1111"/>
      <c r="H2248" s="1111"/>
      <c r="I2248" s="1111"/>
      <c r="J2248" s="1111"/>
      <c r="K2248" s="1112"/>
      <c r="L2248" s="940">
        <f>'[1]5.LO'!E432</f>
        <v>0</v>
      </c>
      <c r="M2248" s="941"/>
      <c r="N2248" s="941"/>
      <c r="O2248" s="941"/>
      <c r="P2248" s="941"/>
      <c r="Q2248" s="941"/>
      <c r="R2248" s="942"/>
      <c r="S2248" s="1133"/>
      <c r="T2248" s="1133"/>
      <c r="U2248" s="1133"/>
      <c r="V2248" s="27"/>
      <c r="Y2248" s="1132"/>
    </row>
    <row r="2249" spans="1:25" s="20" customFormat="1" ht="21" customHeight="1">
      <c r="A2249" s="25"/>
      <c r="B2249" s="27"/>
      <c r="C2249" s="1089"/>
      <c r="D2249" s="1110" t="s">
        <v>926</v>
      </c>
      <c r="E2249" s="1111"/>
      <c r="F2249" s="1111"/>
      <c r="G2249" s="1111"/>
      <c r="H2249" s="1111"/>
      <c r="I2249" s="1111"/>
      <c r="J2249" s="1111"/>
      <c r="K2249" s="1112"/>
      <c r="L2249" s="940">
        <f>'[1]5.LO'!E433</f>
        <v>0</v>
      </c>
      <c r="M2249" s="941"/>
      <c r="N2249" s="941"/>
      <c r="O2249" s="941"/>
      <c r="P2249" s="941"/>
      <c r="Q2249" s="941"/>
      <c r="R2249" s="942"/>
      <c r="S2249" s="1133"/>
      <c r="T2249" s="1133"/>
      <c r="U2249" s="1133"/>
      <c r="V2249" s="27"/>
      <c r="Y2249" s="1132"/>
    </row>
    <row r="2250" spans="1:25" s="20" customFormat="1" ht="21" customHeight="1">
      <c r="A2250" s="25"/>
      <c r="B2250" s="27"/>
      <c r="C2250" s="1089"/>
      <c r="D2250" s="1125" t="s">
        <v>920</v>
      </c>
      <c r="E2250" s="1126"/>
      <c r="F2250" s="1126"/>
      <c r="G2250" s="1126"/>
      <c r="H2250" s="1126"/>
      <c r="I2250" s="1126"/>
      <c r="J2250" s="1126"/>
      <c r="K2250" s="1127"/>
      <c r="L2250" s="940">
        <f>L2248</f>
        <v>0</v>
      </c>
      <c r="M2250" s="941"/>
      <c r="N2250" s="941"/>
      <c r="O2250" s="941"/>
      <c r="P2250" s="941"/>
      <c r="Q2250" s="941"/>
      <c r="R2250" s="942"/>
      <c r="S2250" s="1133"/>
      <c r="T2250" s="1133"/>
      <c r="U2250" s="1133"/>
      <c r="V2250" s="27"/>
    </row>
    <row r="2251" spans="1:25" s="20" customFormat="1" ht="34.5" customHeight="1">
      <c r="A2251" s="25"/>
      <c r="B2251" s="27"/>
      <c r="C2251" s="1089"/>
      <c r="D2251" s="313"/>
      <c r="E2251" s="313"/>
      <c r="F2251" s="313"/>
      <c r="G2251" s="313"/>
      <c r="H2251" s="313"/>
      <c r="I2251" s="313"/>
      <c r="J2251" s="313"/>
      <c r="K2251" s="313"/>
      <c r="L2251" s="313"/>
      <c r="M2251" s="313"/>
      <c r="N2251" s="313"/>
      <c r="O2251" s="313"/>
      <c r="P2251" s="313"/>
      <c r="Q2251" s="313"/>
      <c r="R2251" s="313"/>
      <c r="S2251" s="313"/>
      <c r="T2251" s="313"/>
      <c r="U2251" s="313"/>
      <c r="V2251" s="27"/>
    </row>
    <row r="2252" spans="1:25" s="20" customFormat="1" ht="21" customHeight="1">
      <c r="A2252" s="25"/>
      <c r="B2252" s="359" t="s">
        <v>927</v>
      </c>
      <c r="C2252" s="1089"/>
      <c r="D2252" s="1130"/>
      <c r="E2252" s="1130"/>
      <c r="F2252" s="1130"/>
      <c r="G2252" s="1130"/>
      <c r="H2252" s="1130"/>
      <c r="I2252" s="1130"/>
      <c r="J2252" s="1130"/>
      <c r="K2252" s="1130"/>
      <c r="L2252" s="442"/>
      <c r="M2252" s="442"/>
      <c r="N2252" s="442"/>
      <c r="O2252" s="442"/>
      <c r="P2252" s="442"/>
      <c r="Q2252" s="442"/>
      <c r="R2252" s="442"/>
      <c r="S2252" s="1133"/>
      <c r="T2252" s="1133"/>
      <c r="U2252" s="1133"/>
      <c r="V2252" s="27"/>
    </row>
    <row r="2253" spans="1:25" s="20" customFormat="1" ht="45.75" customHeight="1">
      <c r="A2253" s="25"/>
      <c r="B2253" s="27"/>
      <c r="C2253" s="1134" t="str">
        <f>"Pada tahun anggaran "&amp;'[1]2.ISIAN DATA SKPD'!D11&amp;" "&amp;'[1]2.ISIAN DATA SKPD'!D2&amp;" tidak terdapat surplus/defisit Non Operasional"</f>
        <v>Pada tahun anggaran 2017 Dinas Pekerjaan Umum dan Penataan Ruang tidak terdapat surplus/defisit Non Operasional</v>
      </c>
      <c r="D2253" s="1134"/>
      <c r="E2253" s="1134"/>
      <c r="F2253" s="1134"/>
      <c r="G2253" s="1134"/>
      <c r="H2253" s="1134"/>
      <c r="I2253" s="1134"/>
      <c r="J2253" s="1134"/>
      <c r="K2253" s="1134"/>
      <c r="L2253" s="1134"/>
      <c r="M2253" s="1134"/>
      <c r="N2253" s="1134"/>
      <c r="O2253" s="1134"/>
      <c r="P2253" s="1134"/>
      <c r="Q2253" s="1134"/>
      <c r="R2253" s="1134"/>
      <c r="S2253" s="1134"/>
      <c r="T2253" s="1134"/>
      <c r="U2253" s="1134"/>
      <c r="V2253" s="27"/>
    </row>
    <row r="2254" spans="1:25" s="20" customFormat="1" ht="21" customHeight="1">
      <c r="A2254" s="25"/>
      <c r="B2254" s="27"/>
      <c r="C2254" s="1089"/>
      <c r="D2254" s="1130"/>
      <c r="E2254" s="1130"/>
      <c r="F2254" s="1130"/>
      <c r="G2254" s="1130"/>
      <c r="H2254" s="1130"/>
      <c r="I2254" s="1130"/>
      <c r="J2254" s="1130"/>
      <c r="K2254" s="1130"/>
      <c r="L2254" s="442"/>
      <c r="M2254" s="442"/>
      <c r="N2254" s="442"/>
      <c r="O2254" s="442"/>
      <c r="P2254" s="442"/>
      <c r="Q2254" s="442"/>
      <c r="R2254" s="442"/>
      <c r="S2254" s="1133"/>
      <c r="T2254" s="1133"/>
      <c r="U2254" s="1133"/>
      <c r="V2254" s="27"/>
    </row>
    <row r="2255" spans="1:25" s="20" customFormat="1" ht="21" customHeight="1">
      <c r="A2255" s="25"/>
      <c r="B2255" s="359" t="s">
        <v>928</v>
      </c>
      <c r="C2255" s="1089"/>
      <c r="D2255" s="1130"/>
      <c r="E2255" s="1130"/>
      <c r="F2255" s="1130"/>
      <c r="G2255" s="1130"/>
      <c r="H2255" s="1130"/>
      <c r="I2255" s="1130"/>
      <c r="J2255" s="1130"/>
      <c r="K2255" s="1130"/>
      <c r="L2255" s="442"/>
      <c r="M2255" s="442"/>
      <c r="N2255" s="442"/>
      <c r="O2255" s="442"/>
      <c r="P2255" s="442"/>
      <c r="Q2255" s="442"/>
      <c r="R2255" s="442"/>
      <c r="S2255" s="1133"/>
      <c r="T2255" s="1133"/>
      <c r="U2255" s="1133"/>
      <c r="V2255" s="27"/>
    </row>
    <row r="2256" spans="1:25" s="20" customFormat="1" ht="31.5" customHeight="1">
      <c r="A2256" s="25"/>
      <c r="B2256" s="359"/>
      <c r="C2256" s="1062" t="s">
        <v>929</v>
      </c>
      <c r="D2256" s="1062"/>
      <c r="E2256" s="1062"/>
      <c r="F2256" s="1062"/>
      <c r="G2256" s="1062"/>
      <c r="H2256" s="1062"/>
      <c r="I2256" s="1062"/>
      <c r="J2256" s="1062"/>
      <c r="K2256" s="1062"/>
      <c r="L2256" s="1062"/>
      <c r="M2256" s="1062"/>
      <c r="N2256" s="1062"/>
      <c r="O2256" s="1062"/>
      <c r="P2256" s="1062"/>
      <c r="Q2256" s="1062"/>
      <c r="R2256" s="1062"/>
      <c r="S2256" s="1062"/>
      <c r="T2256" s="1062"/>
      <c r="U2256" s="1062"/>
      <c r="V2256" s="27"/>
    </row>
    <row r="2257" spans="1:29" s="20" customFormat="1" ht="50.25" customHeight="1">
      <c r="A2257" s="25"/>
      <c r="B2257" s="27"/>
      <c r="D2257" s="1134" t="str">
        <f>"Pada tahun anggaran "&amp;'[1]2.ISIAN DATA SKPD'!D11&amp;" dan tahun "&amp;'[1]2.ISIAN DATA SKPD'!D12&amp;" "&amp;'[1]2.ISIAN DATA SKPD'!D2&amp;" tidak terdapat Pendapatan Luar Biasa"</f>
        <v>Pada tahun anggaran 2017 dan tahun 2016 Dinas Pekerjaan Umum dan Penataan Ruang tidak terdapat Pendapatan Luar Biasa</v>
      </c>
      <c r="E2257" s="1134"/>
      <c r="F2257" s="1134"/>
      <c r="G2257" s="1134"/>
      <c r="H2257" s="1134"/>
      <c r="I2257" s="1134"/>
      <c r="J2257" s="1134"/>
      <c r="K2257" s="1134"/>
      <c r="L2257" s="1134"/>
      <c r="M2257" s="1134"/>
      <c r="N2257" s="1134"/>
      <c r="O2257" s="1134"/>
      <c r="P2257" s="1134"/>
      <c r="Q2257" s="1134"/>
      <c r="R2257" s="1134"/>
      <c r="S2257" s="1134"/>
      <c r="T2257" s="1134"/>
      <c r="U2257" s="1134"/>
      <c r="V2257" s="27"/>
    </row>
    <row r="2258" spans="1:29" s="20" customFormat="1" ht="21" customHeight="1">
      <c r="A2258" s="25"/>
      <c r="B2258" s="27"/>
      <c r="C2258" s="1062" t="s">
        <v>930</v>
      </c>
      <c r="D2258" s="1062"/>
      <c r="E2258" s="1062"/>
      <c r="F2258" s="1062"/>
      <c r="G2258" s="1062"/>
      <c r="H2258" s="1062"/>
      <c r="I2258" s="1062"/>
      <c r="J2258" s="1062"/>
      <c r="K2258" s="1062"/>
      <c r="L2258" s="1062"/>
      <c r="M2258" s="1062"/>
      <c r="N2258" s="1062"/>
      <c r="O2258" s="1062"/>
      <c r="P2258" s="1062"/>
      <c r="Q2258" s="1062"/>
      <c r="R2258" s="1062"/>
      <c r="S2258" s="1062"/>
      <c r="T2258" s="1062"/>
      <c r="U2258" s="1062"/>
      <c r="V2258" s="27"/>
    </row>
    <row r="2259" spans="1:29" s="20" customFormat="1" ht="43.5" customHeight="1">
      <c r="A2259" s="25"/>
      <c r="B2259" s="27"/>
      <c r="C2259" s="1089"/>
      <c r="D2259" s="1134" t="str">
        <f>"Pada tahun anggaran "&amp;'[1]2.ISIAN DATA SKPD'!D11&amp;" dan tahun "&amp;'[1]2.ISIAN DATA SKPD'!D12&amp;" "&amp;'[1]2.ISIAN DATA SKPD'!D2&amp;" tidak terdapat Beban Luar Biasa"</f>
        <v>Pada tahun anggaran 2017 dan tahun 2016 Dinas Pekerjaan Umum dan Penataan Ruang tidak terdapat Beban Luar Biasa</v>
      </c>
      <c r="E2259" s="1134"/>
      <c r="F2259" s="1134"/>
      <c r="G2259" s="1134"/>
      <c r="H2259" s="1134"/>
      <c r="I2259" s="1134"/>
      <c r="J2259" s="1134"/>
      <c r="K2259" s="1134"/>
      <c r="L2259" s="1134"/>
      <c r="M2259" s="1134"/>
      <c r="N2259" s="1134"/>
      <c r="O2259" s="1134"/>
      <c r="P2259" s="1134"/>
      <c r="Q2259" s="1134"/>
      <c r="R2259" s="1134"/>
      <c r="S2259" s="1134"/>
      <c r="T2259" s="1134"/>
      <c r="U2259" s="1134"/>
      <c r="V2259" s="27"/>
    </row>
    <row r="2260" spans="1:29" s="20" customFormat="1" ht="10.5" customHeight="1">
      <c r="A2260" s="25"/>
      <c r="B2260" s="27"/>
      <c r="C2260" s="1089"/>
      <c r="D2260" s="1133"/>
      <c r="E2260" s="1133"/>
      <c r="F2260" s="1133"/>
      <c r="G2260" s="1133"/>
      <c r="H2260" s="1133"/>
      <c r="I2260" s="1133"/>
      <c r="J2260" s="1133"/>
      <c r="K2260" s="1133"/>
      <c r="L2260" s="1133"/>
      <c r="M2260" s="1133"/>
      <c r="N2260" s="1133"/>
      <c r="O2260" s="1133"/>
      <c r="P2260" s="1133"/>
      <c r="Q2260" s="1133"/>
      <c r="R2260" s="1133"/>
      <c r="S2260" s="1133"/>
      <c r="T2260" s="1133"/>
      <c r="U2260" s="1133"/>
      <c r="V2260" s="27"/>
    </row>
    <row r="2261" spans="1:29" s="20" customFormat="1" ht="21" customHeight="1">
      <c r="A2261" s="25"/>
      <c r="B2261" s="359" t="s">
        <v>931</v>
      </c>
      <c r="C2261" s="1089"/>
      <c r="D2261" s="1133"/>
      <c r="E2261" s="1133"/>
      <c r="F2261" s="1133"/>
      <c r="G2261" s="1133"/>
      <c r="H2261" s="1133"/>
      <c r="I2261" s="1133"/>
      <c r="J2261" s="1133"/>
      <c r="K2261" s="1133"/>
      <c r="L2261" s="1133"/>
      <c r="M2261" s="1133"/>
      <c r="N2261" s="1133"/>
      <c r="O2261" s="1133"/>
      <c r="P2261" s="1133"/>
      <c r="Q2261" s="1133"/>
      <c r="R2261" s="1133"/>
      <c r="S2261" s="1133"/>
      <c r="T2261" s="1133"/>
      <c r="U2261" s="1133"/>
      <c r="V2261" s="27"/>
      <c r="X2261" s="1132"/>
    </row>
    <row r="2262" spans="1:29" s="20" customFormat="1" ht="91.5" customHeight="1">
      <c r="A2262" s="25"/>
      <c r="B2262" s="359"/>
      <c r="C2262" s="313" t="str">
        <f>"Realisasi Surplus/Defisit-LO "&amp;'[1]2.ISIAN DATA SKPD'!D2&amp;" tahun anggaran "&amp;'[1]2.ISIAN DATA SKPD'!D11&amp;" sebesar Rp. "&amp;FIXED('[1]5.LO'!E435)&amp;" Apabila dibandingkan dengan Realisasi Surplus/Desfisit LO tahun "&amp;'[1]2.ISIAN DATA SKPD'!D12&amp;" sebesar Rp. "&amp;FIXED('[1]5.LO'!F435)&amp;" Maka terdapat penurunan sebesar Rp. "&amp;FIXED('[1]5.LO'!H435)&amp;", atau "&amp;FIXED('[1]5.LO'!G435)&amp;" %."</f>
        <v>Realisasi Surplus/Defisit-LO Dinas Pekerjaan Umum dan Penataan Ruang tahun anggaran 2017 sebesar Rp. -129,227,578,918.00 Apabila dibandingkan dengan Realisasi Surplus/Desfisit LO tahun 2016 sebesar Rp. -54,643,227,623.24 Maka terdapat penurunan sebesar Rp. -74,584,351,294.76, atau 136.49 %.</v>
      </c>
      <c r="D2262" s="313"/>
      <c r="E2262" s="313"/>
      <c r="F2262" s="313"/>
      <c r="G2262" s="313"/>
      <c r="H2262" s="313"/>
      <c r="I2262" s="313"/>
      <c r="J2262" s="313"/>
      <c r="K2262" s="313"/>
      <c r="L2262" s="313"/>
      <c r="M2262" s="313"/>
      <c r="N2262" s="313"/>
      <c r="O2262" s="313"/>
      <c r="P2262" s="313"/>
      <c r="Q2262" s="313"/>
      <c r="R2262" s="313"/>
      <c r="S2262" s="313"/>
      <c r="T2262" s="313"/>
      <c r="U2262" s="313"/>
      <c r="V2262" s="27"/>
      <c r="AC2262" s="1132"/>
    </row>
    <row r="2263" spans="1:29" s="20" customFormat="1" ht="13.5" customHeight="1">
      <c r="A2263" s="25"/>
      <c r="B2263" s="27"/>
      <c r="C2263" s="1089"/>
      <c r="D2263" s="1133"/>
      <c r="E2263" s="1133"/>
      <c r="F2263" s="1133"/>
      <c r="G2263" s="1133"/>
      <c r="H2263" s="1133"/>
      <c r="I2263" s="1133"/>
      <c r="J2263" s="1133"/>
      <c r="K2263" s="1133"/>
      <c r="L2263" s="1133"/>
      <c r="M2263" s="1133"/>
      <c r="N2263" s="1133"/>
      <c r="O2263" s="1133"/>
      <c r="P2263" s="1133"/>
      <c r="Q2263" s="1133"/>
      <c r="R2263" s="1133"/>
      <c r="S2263" s="1133"/>
      <c r="T2263" s="1133"/>
      <c r="U2263" s="1133"/>
      <c r="V2263" s="27"/>
    </row>
    <row r="2264" spans="1:29" s="20" customFormat="1" ht="21" customHeight="1">
      <c r="A2264" s="25"/>
      <c r="B2264" s="1135" t="s">
        <v>932</v>
      </c>
      <c r="C2264" s="764" t="s">
        <v>933</v>
      </c>
      <c r="D2264" s="764"/>
      <c r="E2264" s="764"/>
      <c r="F2264" s="764"/>
      <c r="G2264" s="764"/>
      <c r="H2264" s="764"/>
      <c r="I2264" s="764"/>
      <c r="J2264" s="764"/>
      <c r="K2264" s="764"/>
      <c r="L2264" s="764"/>
      <c r="M2264" s="764"/>
      <c r="N2264" s="764"/>
      <c r="O2264" s="764"/>
      <c r="P2264" s="764"/>
      <c r="Q2264" s="764"/>
      <c r="R2264" s="764"/>
      <c r="S2264" s="764"/>
      <c r="T2264" s="764"/>
      <c r="U2264" s="764"/>
      <c r="V2264" s="27"/>
    </row>
    <row r="2265" spans="1:29" s="20" customFormat="1" ht="57.75" customHeight="1">
      <c r="A2265" s="25"/>
      <c r="B2265" s="1135"/>
      <c r="C2265" s="313" t="str">
        <f>"Laporan Perubahan Ekuitas "&amp;'[1]2.ISIAN DATA SKPD'!D2&amp;" tahun anggaran "&amp;'[1]2.ISIAN DATA SKPD'!D11&amp;". Menyajikan informasi mengenai kenaikan dan penurunan ekuitas selama tahun anggaran "&amp;'[1]2.ISIAN DATA SKPD'!D11&amp;"."</f>
        <v>Laporan Perubahan Ekuitas Dinas Pekerjaan Umum dan Penataan Ruang tahun anggaran 2017. Menyajikan informasi mengenai kenaikan dan penurunan ekuitas selama tahun anggaran 2017.</v>
      </c>
      <c r="D2265" s="313"/>
      <c r="E2265" s="313"/>
      <c r="F2265" s="313"/>
      <c r="G2265" s="313"/>
      <c r="H2265" s="313"/>
      <c r="I2265" s="313"/>
      <c r="J2265" s="313"/>
      <c r="K2265" s="313"/>
      <c r="L2265" s="313"/>
      <c r="M2265" s="313"/>
      <c r="N2265" s="313"/>
      <c r="O2265" s="313"/>
      <c r="P2265" s="313"/>
      <c r="Q2265" s="313"/>
      <c r="R2265" s="313"/>
      <c r="S2265" s="313"/>
      <c r="T2265" s="313"/>
      <c r="U2265" s="313"/>
      <c r="V2265" s="27"/>
    </row>
    <row r="2266" spans="1:29" s="20" customFormat="1" ht="99" customHeight="1">
      <c r="A2266" s="25"/>
      <c r="B2266" s="1135"/>
      <c r="C2266" s="313" t="str">
        <f>"Ekuitas per  "&amp;'[1]2.ISIAN DATA SKPD'!D8&amp;" sebesar Rp. "&amp;FIXED('[1]6.LPE'!C88)&amp;" berasal dari Saldo Awal Ekuitas per "&amp;'[1]2.ISIAN DATA SKPD'!D9&amp;" sebesar Rp. "&amp;FIXED('[1]6.LPE'!C9)&amp;" ditambah Surplus/Defisit-LO Tahun Anggaran "&amp;'[1]2.ISIAN DATA SKPD'!D11&amp;" sebesar Rp. "&amp;FIXED('[1]6.LPE'!C10)&amp;" ditambah dampak kumulatif perubahan kebijakan/kesalahan mendasar tahun anggaran "&amp;'[1]2.ISIAN DATA SKPD'!D11&amp;" sebesar Rp. "&amp;FIXED('[1]6.LPE'!C12)&amp;""</f>
        <v>Ekuitas per  31 Desember 2017 sebesar Rp. 934,528,689,327.03 berasal dari Saldo Awal Ekuitas per 31 Desember 2016 sebesar Rp. 907,163,072,349.03 ditambah Surplus/Defisit-LO Tahun Anggaran 2017 sebesar Rp. -129,227,578,918.00 ditambah dampak kumulatif perubahan kebijakan/kesalahan mendasar tahun anggaran 2017 sebesar Rp. 156,593,195,896.00</v>
      </c>
      <c r="D2266" s="313"/>
      <c r="E2266" s="313"/>
      <c r="F2266" s="313"/>
      <c r="G2266" s="313"/>
      <c r="H2266" s="313"/>
      <c r="I2266" s="313"/>
      <c r="J2266" s="313"/>
      <c r="K2266" s="313"/>
      <c r="L2266" s="313"/>
      <c r="M2266" s="313"/>
      <c r="N2266" s="313"/>
      <c r="O2266" s="313"/>
      <c r="P2266" s="313"/>
      <c r="Q2266" s="313"/>
      <c r="R2266" s="313"/>
      <c r="S2266" s="313"/>
      <c r="T2266" s="313"/>
      <c r="U2266" s="313"/>
      <c r="V2266" s="27"/>
    </row>
    <row r="2267" spans="1:29" s="20" customFormat="1" ht="21" customHeight="1">
      <c r="A2267" s="25"/>
      <c r="B2267" s="406" t="s">
        <v>934</v>
      </c>
      <c r="C2267" s="1136"/>
      <c r="D2267" s="1136"/>
      <c r="E2267" s="1136"/>
      <c r="F2267" s="1136"/>
      <c r="G2267" s="1136"/>
      <c r="H2267" s="1136"/>
      <c r="I2267" s="1136"/>
      <c r="J2267" s="1136"/>
      <c r="K2267" s="1136"/>
      <c r="L2267" s="1136"/>
      <c r="M2267" s="1136"/>
      <c r="N2267" s="1136"/>
      <c r="O2267" s="1136"/>
      <c r="P2267" s="1136"/>
      <c r="Q2267" s="1136"/>
      <c r="R2267" s="1136"/>
      <c r="S2267" s="1136"/>
      <c r="T2267" s="1136"/>
      <c r="U2267" s="1136"/>
      <c r="V2267" s="27"/>
    </row>
    <row r="2268" spans="1:29" s="20" customFormat="1" ht="51" customHeight="1">
      <c r="A2268" s="25"/>
      <c r="B2268" s="1135"/>
      <c r="C2268" s="428" t="str">
        <f>"Ekuitas awal tahun anggaran "&amp;'[1]2.ISIAN DATA SKPD'!D11&amp;" sebesar Rp. "&amp;FIXED('[1]6.LPE'!C9)&amp;" berasal dari Saldo Ekuitas Neraca per "&amp;'[1]2.ISIAN DATA SKPD'!D9&amp;" setelah audit."</f>
        <v>Ekuitas awal tahun anggaran 2017 sebesar Rp. 907,163,072,349.03 berasal dari Saldo Ekuitas Neraca per 31 Desember 2016 setelah audit.</v>
      </c>
      <c r="D2268" s="428"/>
      <c r="E2268" s="428"/>
      <c r="F2268" s="428"/>
      <c r="G2268" s="428"/>
      <c r="H2268" s="428"/>
      <c r="I2268" s="428"/>
      <c r="J2268" s="428"/>
      <c r="K2268" s="428"/>
      <c r="L2268" s="428"/>
      <c r="M2268" s="428"/>
      <c r="N2268" s="428"/>
      <c r="O2268" s="428"/>
      <c r="P2268" s="428"/>
      <c r="Q2268" s="428"/>
      <c r="R2268" s="428"/>
      <c r="S2268" s="428"/>
      <c r="T2268" s="428"/>
      <c r="U2268" s="428"/>
      <c r="V2268" s="27"/>
    </row>
    <row r="2269" spans="1:29" s="20" customFormat="1" ht="9" customHeight="1">
      <c r="A2269" s="25"/>
      <c r="B2269" s="1135"/>
      <c r="C2269" s="1136"/>
      <c r="D2269" s="1136"/>
      <c r="E2269" s="1136"/>
      <c r="F2269" s="1136"/>
      <c r="G2269" s="1136"/>
      <c r="H2269" s="1136"/>
      <c r="I2269" s="1136"/>
      <c r="J2269" s="1136"/>
      <c r="K2269" s="1136"/>
      <c r="L2269" s="1136"/>
      <c r="M2269" s="1136"/>
      <c r="N2269" s="1136"/>
      <c r="O2269" s="1136"/>
      <c r="P2269" s="1136"/>
      <c r="Q2269" s="1136"/>
      <c r="R2269" s="1136"/>
      <c r="S2269" s="1136"/>
      <c r="T2269" s="1136"/>
      <c r="U2269" s="1136"/>
      <c r="V2269" s="27"/>
    </row>
    <row r="2270" spans="1:29" s="20" customFormat="1" ht="21" customHeight="1">
      <c r="A2270" s="25"/>
      <c r="B2270" s="406" t="str">
        <f>"3.4.2. Surplus Defisit LO  Tahun Anggaran "&amp;'[1]2.ISIAN DATA SKPD'!D11&amp;""</f>
        <v>3.4.2. Surplus Defisit LO  Tahun Anggaran 2017</v>
      </c>
      <c r="C2270" s="1136"/>
      <c r="D2270" s="1136"/>
      <c r="E2270" s="1136"/>
      <c r="F2270" s="1136"/>
      <c r="G2270" s="1136"/>
      <c r="H2270" s="1136"/>
      <c r="I2270" s="1136"/>
      <c r="J2270" s="1136"/>
      <c r="K2270" s="1136"/>
      <c r="L2270" s="1136"/>
      <c r="M2270" s="1136"/>
      <c r="N2270" s="1136"/>
      <c r="O2270" s="1136"/>
      <c r="P2270" s="1136"/>
      <c r="Q2270" s="1136"/>
      <c r="R2270" s="1136"/>
      <c r="S2270" s="1136"/>
      <c r="T2270" s="1136"/>
      <c r="U2270" s="1136"/>
      <c r="V2270" s="27"/>
    </row>
    <row r="2271" spans="1:29" s="20" customFormat="1" ht="63.75" customHeight="1">
      <c r="A2271" s="25"/>
      <c r="B2271" s="1135"/>
      <c r="C2271" s="428" t="str">
        <f>"Surplus/Defisit LO tahun anggaran "&amp;'[1]2.ISIAN DATA SKPD'!D11&amp;"  sebesar Rp. "&amp;FIXED('[1]6.LPE'!C10)&amp;" berasal dari Pendapatan-LO dikurangi Beban tahun anggaran "&amp;'[1]2.ISIAN DATA SKPD'!D11&amp;" sebagaimana dapat dilihat pada laporan operasional."</f>
        <v>Surplus/Defisit LO tahun anggaran 2017  sebesar Rp. -129,227,578,918.00 berasal dari Pendapatan-LO dikurangi Beban tahun anggaran 2017 sebagaimana dapat dilihat pada laporan operasional.</v>
      </c>
      <c r="D2271" s="428"/>
      <c r="E2271" s="428"/>
      <c r="F2271" s="428"/>
      <c r="G2271" s="428"/>
      <c r="H2271" s="428"/>
      <c r="I2271" s="428"/>
      <c r="J2271" s="428"/>
      <c r="K2271" s="428"/>
      <c r="L2271" s="428"/>
      <c r="M2271" s="428"/>
      <c r="N2271" s="428"/>
      <c r="O2271" s="428"/>
      <c r="P2271" s="428"/>
      <c r="Q2271" s="428"/>
      <c r="R2271" s="428"/>
      <c r="S2271" s="428"/>
      <c r="T2271" s="428"/>
      <c r="U2271" s="428"/>
      <c r="V2271" s="27"/>
    </row>
    <row r="2272" spans="1:29" s="20" customFormat="1" ht="4.5" customHeight="1">
      <c r="A2272" s="25"/>
      <c r="B2272" s="1135"/>
      <c r="C2272" s="1136"/>
      <c r="D2272" s="1136"/>
      <c r="E2272" s="1136"/>
      <c r="F2272" s="1136"/>
      <c r="G2272" s="1136"/>
      <c r="H2272" s="1136"/>
      <c r="I2272" s="1136"/>
      <c r="J2272" s="1136"/>
      <c r="K2272" s="1136"/>
      <c r="L2272" s="1136"/>
      <c r="M2272" s="1136"/>
      <c r="N2272" s="1136"/>
      <c r="O2272" s="1136"/>
      <c r="P2272" s="1136"/>
      <c r="Q2272" s="1136"/>
      <c r="R2272" s="1136"/>
      <c r="S2272" s="1136"/>
      <c r="T2272" s="1136"/>
      <c r="U2272" s="1136"/>
      <c r="V2272" s="27"/>
    </row>
    <row r="2273" spans="1:22" s="20" customFormat="1" ht="21" customHeight="1">
      <c r="A2273" s="25"/>
      <c r="B2273" s="406" t="s">
        <v>935</v>
      </c>
      <c r="C2273" s="1136"/>
      <c r="D2273" s="1136"/>
      <c r="E2273" s="1136"/>
      <c r="F2273" s="1136"/>
      <c r="G2273" s="1136"/>
      <c r="H2273" s="1136"/>
      <c r="I2273" s="1136"/>
      <c r="J2273" s="1136"/>
      <c r="K2273" s="1136"/>
      <c r="L2273" s="1136"/>
      <c r="M2273" s="1136"/>
      <c r="N2273" s="1136"/>
      <c r="O2273" s="1136"/>
      <c r="P2273" s="1136"/>
      <c r="Q2273" s="1136"/>
      <c r="R2273" s="1136"/>
      <c r="S2273" s="1136"/>
      <c r="T2273" s="1136"/>
      <c r="U2273" s="1136"/>
      <c r="V2273" s="27"/>
    </row>
    <row r="2274" spans="1:22" s="20" customFormat="1" ht="38.25" customHeight="1">
      <c r="A2274" s="25"/>
      <c r="B2274" s="1135"/>
      <c r="C2274" s="428" t="str">
        <f>"Dampak komulatif perubahan kebijakan/kesalahan atas ekuitas awal sebesar Rp. "&amp;FIXED('[1]6.LPE'!C12)&amp;" yang terdiri dari :"</f>
        <v>Dampak komulatif perubahan kebijakan/kesalahan atas ekuitas awal sebesar Rp. 156,593,195,896.00 yang terdiri dari :</v>
      </c>
      <c r="D2274" s="428"/>
      <c r="E2274" s="428"/>
      <c r="F2274" s="428"/>
      <c r="G2274" s="428"/>
      <c r="H2274" s="428"/>
      <c r="I2274" s="428"/>
      <c r="J2274" s="428"/>
      <c r="K2274" s="428"/>
      <c r="L2274" s="428"/>
      <c r="M2274" s="428"/>
      <c r="N2274" s="428"/>
      <c r="O2274" s="428"/>
      <c r="P2274" s="428"/>
      <c r="Q2274" s="428"/>
      <c r="R2274" s="428"/>
      <c r="S2274" s="428"/>
      <c r="T2274" s="428"/>
      <c r="U2274" s="428"/>
      <c r="V2274" s="27"/>
    </row>
    <row r="2275" spans="1:22" s="20" customFormat="1" ht="28.35" customHeight="1">
      <c r="A2275" s="25"/>
      <c r="B2275" s="1135"/>
      <c r="C2275" s="152" t="s">
        <v>936</v>
      </c>
      <c r="D2275" s="152"/>
      <c r="E2275" s="152"/>
      <c r="F2275" s="152"/>
      <c r="G2275" s="152"/>
      <c r="H2275" s="152"/>
      <c r="I2275" s="152"/>
      <c r="J2275" s="152"/>
      <c r="K2275" s="152"/>
      <c r="L2275" s="152"/>
      <c r="M2275" s="152"/>
      <c r="N2275" s="152"/>
      <c r="O2275" s="1137" t="s">
        <v>369</v>
      </c>
      <c r="P2275" s="1138">
        <f>SUM(P2276:U2279)</f>
        <v>156601845576</v>
      </c>
      <c r="Q2275" s="1138"/>
      <c r="R2275" s="1138"/>
      <c r="S2275" s="1138"/>
      <c r="T2275" s="1138"/>
      <c r="U2275" s="1138"/>
      <c r="V2275" s="27"/>
    </row>
    <row r="2276" spans="1:22" s="20" customFormat="1" ht="28.35" customHeight="1">
      <c r="A2276" s="25"/>
      <c r="B2276" s="1135"/>
      <c r="C2276" s="152" t="s">
        <v>937</v>
      </c>
      <c r="D2276" s="152"/>
      <c r="E2276" s="152"/>
      <c r="F2276" s="152"/>
      <c r="G2276" s="152"/>
      <c r="H2276" s="152"/>
      <c r="I2276" s="152"/>
      <c r="J2276" s="152"/>
      <c r="K2276" s="152"/>
      <c r="L2276" s="152"/>
      <c r="M2276" s="152"/>
      <c r="N2276" s="152"/>
      <c r="O2276" s="1139" t="s">
        <v>369</v>
      </c>
      <c r="P2276" s="1138">
        <f>'[1]6.LPE'!I18+'[1]6.LPE'!I44</f>
        <v>17708483013</v>
      </c>
      <c r="Q2276" s="1138"/>
      <c r="R2276" s="1138"/>
      <c r="S2276" s="1138"/>
      <c r="T2276" s="1138"/>
      <c r="U2276" s="1138"/>
      <c r="V2276" s="27"/>
    </row>
    <row r="2277" spans="1:22" s="20" customFormat="1" ht="28.35" customHeight="1">
      <c r="A2277" s="25"/>
      <c r="B2277" s="1135"/>
      <c r="C2277" s="152" t="s">
        <v>938</v>
      </c>
      <c r="D2277" s="152"/>
      <c r="E2277" s="152"/>
      <c r="F2277" s="152"/>
      <c r="G2277" s="152"/>
      <c r="H2277" s="152"/>
      <c r="I2277" s="152"/>
      <c r="J2277" s="152"/>
      <c r="K2277" s="152"/>
      <c r="L2277" s="152"/>
      <c r="M2277" s="152"/>
      <c r="N2277" s="152"/>
      <c r="O2277" s="1139" t="s">
        <v>369</v>
      </c>
      <c r="P2277" s="1138">
        <f>'[1]6.LPE'!C56</f>
        <v>1200000</v>
      </c>
      <c r="Q2277" s="1138"/>
      <c r="R2277" s="1138"/>
      <c r="S2277" s="1138"/>
      <c r="T2277" s="1138"/>
      <c r="U2277" s="1138"/>
      <c r="V2277" s="27"/>
    </row>
    <row r="2278" spans="1:22" s="20" customFormat="1" ht="28.35" customHeight="1">
      <c r="A2278" s="25"/>
      <c r="B2278" s="1135"/>
      <c r="C2278" s="152" t="s">
        <v>939</v>
      </c>
      <c r="D2278" s="152"/>
      <c r="E2278" s="152"/>
      <c r="F2278" s="152"/>
      <c r="G2278" s="152"/>
      <c r="H2278" s="152"/>
      <c r="I2278" s="152"/>
      <c r="J2278" s="152"/>
      <c r="K2278" s="152"/>
      <c r="L2278" s="152"/>
      <c r="M2278" s="152"/>
      <c r="N2278" s="152"/>
      <c r="O2278" s="1139" t="s">
        <v>369</v>
      </c>
      <c r="P2278" s="1138">
        <v>136901763274</v>
      </c>
      <c r="Q2278" s="1138"/>
      <c r="R2278" s="1138"/>
      <c r="S2278" s="1138"/>
      <c r="T2278" s="1138"/>
      <c r="U2278" s="1138"/>
      <c r="V2278" s="27"/>
    </row>
    <row r="2279" spans="1:22" s="20" customFormat="1" ht="21" customHeight="1">
      <c r="A2279" s="25"/>
      <c r="B2279" s="1135"/>
      <c r="C2279" s="152" t="s">
        <v>940</v>
      </c>
      <c r="D2279" s="152"/>
      <c r="E2279" s="152"/>
      <c r="F2279" s="152"/>
      <c r="G2279" s="152"/>
      <c r="H2279" s="152"/>
      <c r="I2279" s="152"/>
      <c r="J2279" s="152"/>
      <c r="K2279" s="152"/>
      <c r="L2279" s="152"/>
      <c r="M2279" s="152"/>
      <c r="N2279" s="152"/>
      <c r="O2279" s="1139" t="s">
        <v>369</v>
      </c>
      <c r="P2279" s="1138">
        <v>1990399289</v>
      </c>
      <c r="Q2279" s="1138"/>
      <c r="R2279" s="1138"/>
      <c r="S2279" s="1138"/>
      <c r="T2279" s="1138"/>
      <c r="U2279" s="1138"/>
      <c r="V2279" s="27"/>
    </row>
    <row r="2280" spans="1:22" s="20" customFormat="1" ht="21" customHeight="1">
      <c r="A2280" s="25"/>
      <c r="B2280" s="1135"/>
      <c r="C2280" s="858"/>
      <c r="D2280" s="858"/>
      <c r="E2280" s="858"/>
      <c r="F2280" s="858"/>
      <c r="G2280" s="858"/>
      <c r="H2280" s="858"/>
      <c r="I2280" s="858"/>
      <c r="J2280" s="858"/>
      <c r="K2280" s="858"/>
      <c r="L2280" s="858"/>
      <c r="M2280" s="858"/>
      <c r="N2280" s="858"/>
      <c r="O2280" s="858"/>
      <c r="P2280" s="858"/>
      <c r="Q2280" s="858"/>
      <c r="R2280" s="858"/>
      <c r="S2280" s="858"/>
      <c r="T2280" s="858"/>
      <c r="U2280" s="858"/>
      <c r="V2280" s="27"/>
    </row>
    <row r="2281" spans="1:22" s="20" customFormat="1" ht="21" customHeight="1">
      <c r="A2281" s="25"/>
      <c r="B2281" s="1135"/>
      <c r="C2281" s="152" t="s">
        <v>941</v>
      </c>
      <c r="D2281" s="152"/>
      <c r="E2281" s="152"/>
      <c r="F2281" s="152"/>
      <c r="G2281" s="152"/>
      <c r="H2281" s="152"/>
      <c r="I2281" s="152"/>
      <c r="J2281" s="152"/>
      <c r="K2281" s="152"/>
      <c r="L2281" s="152"/>
      <c r="M2281" s="152"/>
      <c r="N2281" s="152"/>
      <c r="O2281" s="1137" t="s">
        <v>369</v>
      </c>
      <c r="P2281" s="1138">
        <f>SUM(P2282:U2286)</f>
        <v>-8649677</v>
      </c>
      <c r="Q2281" s="1138"/>
      <c r="R2281" s="1138"/>
      <c r="S2281" s="1138"/>
      <c r="T2281" s="1138"/>
      <c r="U2281" s="1138"/>
      <c r="V2281" s="27"/>
    </row>
    <row r="2282" spans="1:22" s="20" customFormat="1" ht="28.35" customHeight="1">
      <c r="A2282" s="25"/>
      <c r="B2282" s="1135"/>
      <c r="C2282" s="152" t="s">
        <v>942</v>
      </c>
      <c r="D2282" s="152"/>
      <c r="E2282" s="152"/>
      <c r="F2282" s="152"/>
      <c r="G2282" s="152"/>
      <c r="H2282" s="152"/>
      <c r="I2282" s="152"/>
      <c r="J2282" s="152"/>
      <c r="K2282" s="152"/>
      <c r="L2282" s="152"/>
      <c r="M2282" s="152"/>
      <c r="N2282" s="152"/>
      <c r="O2282" s="1139" t="s">
        <v>369</v>
      </c>
      <c r="P2282" s="1138">
        <v>0</v>
      </c>
      <c r="Q2282" s="1138"/>
      <c r="R2282" s="1138"/>
      <c r="S2282" s="1138"/>
      <c r="T2282" s="1138"/>
      <c r="U2282" s="1138"/>
      <c r="V2282" s="27"/>
    </row>
    <row r="2283" spans="1:22" s="20" customFormat="1" ht="28.35" customHeight="1">
      <c r="A2283" s="25"/>
      <c r="B2283" s="1135"/>
      <c r="C2283" s="152" t="s">
        <v>943</v>
      </c>
      <c r="D2283" s="152"/>
      <c r="E2283" s="152"/>
      <c r="F2283" s="152"/>
      <c r="G2283" s="152"/>
      <c r="H2283" s="152"/>
      <c r="I2283" s="152"/>
      <c r="J2283" s="152"/>
      <c r="K2283" s="152"/>
      <c r="L2283" s="152"/>
      <c r="M2283" s="152"/>
      <c r="N2283" s="152"/>
      <c r="O2283" s="1139" t="s">
        <v>369</v>
      </c>
      <c r="P2283" s="1138">
        <f>'[1]6.LPE'!C51+'[1]6.LPE'!C52+'[1]6.LPE'!C53+'[1]6.LPE'!C54</f>
        <v>-8500000</v>
      </c>
      <c r="Q2283" s="1138"/>
      <c r="R2283" s="1138"/>
      <c r="S2283" s="1138"/>
      <c r="T2283" s="1138"/>
      <c r="U2283" s="1138"/>
      <c r="V2283" s="27"/>
    </row>
    <row r="2284" spans="1:22" s="20" customFormat="1" ht="28.35" customHeight="1">
      <c r="A2284" s="25"/>
      <c r="B2284" s="1135"/>
      <c r="C2284" s="152" t="s">
        <v>944</v>
      </c>
      <c r="D2284" s="152"/>
      <c r="E2284" s="152"/>
      <c r="F2284" s="152"/>
      <c r="G2284" s="152"/>
      <c r="H2284" s="152"/>
      <c r="I2284" s="152"/>
      <c r="J2284" s="152"/>
      <c r="K2284" s="152"/>
      <c r="L2284" s="152"/>
      <c r="M2284" s="152"/>
      <c r="N2284" s="152"/>
      <c r="O2284" s="1139" t="s">
        <v>369</v>
      </c>
      <c r="P2284" s="1138">
        <f>'[1]6.LPE'!E62</f>
        <v>0</v>
      </c>
      <c r="Q2284" s="1138"/>
      <c r="R2284" s="1138"/>
      <c r="S2284" s="1138"/>
      <c r="T2284" s="1138"/>
      <c r="U2284" s="1138"/>
      <c r="V2284" s="27"/>
    </row>
    <row r="2285" spans="1:22" s="20" customFormat="1" ht="28.35" customHeight="1">
      <c r="A2285" s="1140"/>
      <c r="B2285" s="1135"/>
      <c r="C2285" s="152" t="s">
        <v>945</v>
      </c>
      <c r="D2285" s="152"/>
      <c r="E2285" s="152"/>
      <c r="F2285" s="152"/>
      <c r="G2285" s="152"/>
      <c r="H2285" s="152"/>
      <c r="I2285" s="152"/>
      <c r="J2285" s="152"/>
      <c r="K2285" s="152"/>
      <c r="L2285" s="152"/>
      <c r="M2285" s="152"/>
      <c r="N2285" s="152"/>
      <c r="O2285" s="1139" t="s">
        <v>369</v>
      </c>
      <c r="P2285" s="1138">
        <f>'[1]6.LPE'!E16</f>
        <v>-149670</v>
      </c>
      <c r="Q2285" s="1138"/>
      <c r="R2285" s="1138"/>
      <c r="S2285" s="1138"/>
      <c r="T2285" s="1138"/>
      <c r="U2285" s="1138"/>
      <c r="V2285" s="27"/>
    </row>
    <row r="2286" spans="1:22" s="20" customFormat="1" ht="28.35" customHeight="1">
      <c r="A2286" s="25"/>
      <c r="B2286" s="1135"/>
      <c r="C2286" s="152" t="s">
        <v>946</v>
      </c>
      <c r="D2286" s="152"/>
      <c r="E2286" s="152"/>
      <c r="F2286" s="152"/>
      <c r="G2286" s="152"/>
      <c r="H2286" s="152"/>
      <c r="I2286" s="152"/>
      <c r="J2286" s="152"/>
      <c r="K2286" s="152"/>
      <c r="L2286" s="152"/>
      <c r="M2286" s="152"/>
      <c r="N2286" s="152"/>
      <c r="O2286" s="1139" t="s">
        <v>369</v>
      </c>
      <c r="P2286" s="1138">
        <f>'[1]6.LPE'!E49</f>
        <v>-7</v>
      </c>
      <c r="Q2286" s="1138"/>
      <c r="R2286" s="1138"/>
      <c r="S2286" s="1138"/>
      <c r="T2286" s="1138"/>
      <c r="U2286" s="1138"/>
      <c r="V2286" s="27"/>
    </row>
    <row r="2287" spans="1:22" s="20" customFormat="1" ht="37.5" customHeight="1">
      <c r="A2287" s="25"/>
      <c r="B2287" s="1135"/>
      <c r="C2287" s="1141" t="s">
        <v>947</v>
      </c>
      <c r="D2287" s="1141"/>
      <c r="E2287" s="1141"/>
      <c r="F2287" s="1141"/>
      <c r="G2287" s="1141"/>
      <c r="H2287" s="1141"/>
      <c r="I2287" s="1141"/>
      <c r="J2287" s="1141"/>
      <c r="K2287" s="1141"/>
      <c r="L2287" s="1141"/>
      <c r="M2287" s="1141"/>
      <c r="N2287" s="1141"/>
      <c r="O2287" s="1139" t="s">
        <v>369</v>
      </c>
      <c r="P2287" s="1142">
        <f>P2275+P2281</f>
        <v>156593195899</v>
      </c>
      <c r="Q2287" s="1143"/>
      <c r="R2287" s="1143"/>
      <c r="S2287" s="1143"/>
      <c r="T2287" s="1143"/>
      <c r="U2287" s="1143"/>
      <c r="V2287" s="27"/>
    </row>
    <row r="2288" spans="1:22" s="20" customFormat="1" ht="3.75" customHeight="1">
      <c r="A2288" s="25"/>
      <c r="B2288" s="1135"/>
      <c r="C2288" s="1136"/>
      <c r="D2288" s="1136"/>
      <c r="E2288" s="1136"/>
      <c r="F2288" s="1136"/>
      <c r="G2288" s="1136"/>
      <c r="H2288" s="1136"/>
      <c r="I2288" s="1136"/>
      <c r="J2288" s="1136"/>
      <c r="K2288" s="1136"/>
      <c r="L2288" s="1136"/>
      <c r="M2288" s="1136"/>
      <c r="N2288" s="1136"/>
      <c r="O2288" s="1136"/>
      <c r="P2288" s="1144"/>
      <c r="Q2288" s="1145"/>
      <c r="R2288" s="1145"/>
      <c r="S2288" s="1145"/>
      <c r="T2288" s="1145"/>
      <c r="U2288" s="1145"/>
      <c r="V2288" s="27"/>
    </row>
    <row r="2289" spans="1:22" s="20" customFormat="1" ht="3.75" customHeight="1">
      <c r="A2289" s="25"/>
      <c r="B2289" s="1135"/>
      <c r="C2289" s="1136"/>
      <c r="D2289" s="1136"/>
      <c r="E2289" s="1136"/>
      <c r="F2289" s="1136"/>
      <c r="G2289" s="1136"/>
      <c r="H2289" s="1136"/>
      <c r="I2289" s="1136"/>
      <c r="J2289" s="1136"/>
      <c r="K2289" s="1136"/>
      <c r="L2289" s="1136"/>
      <c r="M2289" s="1136"/>
      <c r="N2289" s="1136"/>
      <c r="O2289" s="1136"/>
      <c r="P2289" s="1136"/>
      <c r="Q2289" s="1136"/>
      <c r="R2289" s="1136"/>
      <c r="S2289" s="1136"/>
      <c r="T2289" s="1136"/>
      <c r="U2289" s="1136"/>
      <c r="V2289" s="27"/>
    </row>
    <row r="2290" spans="1:22" s="20" customFormat="1" ht="15.75" customHeight="1">
      <c r="A2290" s="25"/>
      <c r="B2290" s="1146" t="s">
        <v>948</v>
      </c>
      <c r="C2290" s="1146"/>
      <c r="D2290" s="1146"/>
      <c r="E2290" s="1146"/>
      <c r="F2290" s="1146"/>
      <c r="G2290" s="1146"/>
      <c r="H2290" s="1146"/>
      <c r="I2290" s="1146"/>
      <c r="J2290" s="1146"/>
      <c r="K2290" s="1146"/>
      <c r="L2290" s="1146"/>
      <c r="M2290" s="1146"/>
      <c r="N2290" s="1146"/>
      <c r="O2290" s="1146"/>
      <c r="P2290" s="1146"/>
      <c r="Q2290" s="1146"/>
      <c r="R2290" s="1146"/>
      <c r="S2290" s="1146"/>
      <c r="T2290" s="1146"/>
      <c r="U2290" s="1146"/>
      <c r="V2290" s="27"/>
    </row>
    <row r="2291" spans="1:22" s="20" customFormat="1" ht="15.75" customHeight="1">
      <c r="A2291" s="18"/>
      <c r="B2291" s="1146" t="s">
        <v>949</v>
      </c>
      <c r="C2291" s="1146"/>
      <c r="D2291" s="1146"/>
      <c r="E2291" s="1146"/>
      <c r="F2291" s="1146"/>
      <c r="G2291" s="1146"/>
      <c r="H2291" s="1146"/>
      <c r="I2291" s="1146"/>
      <c r="J2291" s="1146"/>
      <c r="K2291" s="1146"/>
      <c r="L2291" s="1146"/>
      <c r="M2291" s="1146"/>
      <c r="N2291" s="1146"/>
      <c r="O2291" s="1146"/>
      <c r="P2291" s="1146"/>
      <c r="Q2291" s="1146"/>
      <c r="R2291" s="1146"/>
      <c r="S2291" s="1146"/>
      <c r="T2291" s="1146"/>
      <c r="U2291" s="1146"/>
      <c r="V2291" s="27"/>
    </row>
    <row r="2292" spans="1:22" s="20" customFormat="1" ht="15.75" customHeight="1">
      <c r="A2292" s="18"/>
      <c r="B2292" s="27"/>
      <c r="C2292" s="27"/>
      <c r="D2292" s="27"/>
      <c r="E2292" s="27"/>
      <c r="F2292" s="27"/>
      <c r="G2292" s="27"/>
      <c r="H2292" s="27"/>
      <c r="I2292" s="27"/>
      <c r="J2292" s="27"/>
      <c r="K2292" s="27"/>
      <c r="L2292" s="27"/>
      <c r="M2292" s="27"/>
      <c r="N2292" s="27"/>
      <c r="O2292" s="27"/>
      <c r="P2292" s="27"/>
      <c r="Q2292" s="27"/>
      <c r="R2292" s="27"/>
      <c r="S2292" s="27"/>
      <c r="T2292" s="44"/>
      <c r="U2292" s="44"/>
      <c r="V2292" s="27"/>
    </row>
    <row r="2293" spans="1:22" s="20" customFormat="1" ht="50.25" customHeight="1">
      <c r="A2293" s="18"/>
      <c r="B2293" s="358" t="s">
        <v>950</v>
      </c>
      <c r="C2293" s="358"/>
      <c r="D2293" s="358"/>
      <c r="E2293" s="358"/>
      <c r="F2293" s="358"/>
      <c r="G2293" s="358"/>
      <c r="H2293" s="358"/>
      <c r="I2293" s="358"/>
      <c r="J2293" s="358"/>
      <c r="K2293" s="358"/>
      <c r="L2293" s="358"/>
      <c r="M2293" s="358"/>
      <c r="N2293" s="358"/>
      <c r="O2293" s="358"/>
      <c r="P2293" s="358"/>
      <c r="Q2293" s="358"/>
      <c r="R2293" s="358"/>
      <c r="S2293" s="358"/>
      <c r="T2293" s="358"/>
      <c r="U2293" s="44"/>
      <c r="V2293" s="27"/>
    </row>
    <row r="2294" spans="1:22" s="20" customFormat="1" ht="15.75" customHeight="1">
      <c r="A2294" s="18"/>
      <c r="B2294" s="27" t="s">
        <v>119</v>
      </c>
      <c r="C2294" s="358" t="s">
        <v>951</v>
      </c>
      <c r="D2294" s="358"/>
      <c r="E2294" s="358"/>
      <c r="F2294" s="358"/>
      <c r="G2294" s="358"/>
      <c r="H2294" s="358"/>
      <c r="I2294" s="358"/>
      <c r="J2294" s="358"/>
      <c r="K2294" s="358"/>
      <c r="L2294" s="358"/>
      <c r="M2294" s="358"/>
      <c r="N2294" s="358"/>
      <c r="O2294" s="358"/>
      <c r="P2294" s="358"/>
      <c r="Q2294" s="358"/>
      <c r="R2294" s="358"/>
      <c r="S2294" s="358"/>
      <c r="T2294" s="358"/>
      <c r="U2294" s="44"/>
      <c r="V2294" s="27"/>
    </row>
    <row r="2295" spans="1:22" s="20" customFormat="1" ht="30" customHeight="1">
      <c r="A2295" s="18"/>
      <c r="B2295" s="27" t="s">
        <v>112</v>
      </c>
      <c r="C2295" s="358" t="s">
        <v>952</v>
      </c>
      <c r="D2295" s="358"/>
      <c r="E2295" s="358"/>
      <c r="F2295" s="358"/>
      <c r="G2295" s="358"/>
      <c r="H2295" s="358"/>
      <c r="I2295" s="358"/>
      <c r="J2295" s="358"/>
      <c r="K2295" s="358"/>
      <c r="L2295" s="358"/>
      <c r="M2295" s="358"/>
      <c r="N2295" s="358"/>
      <c r="O2295" s="358"/>
      <c r="P2295" s="358"/>
      <c r="Q2295" s="358"/>
      <c r="R2295" s="358"/>
      <c r="S2295" s="358"/>
      <c r="T2295" s="358"/>
      <c r="U2295" s="44"/>
      <c r="V2295" s="27"/>
    </row>
    <row r="2296" spans="1:22" s="20" customFormat="1" ht="33" customHeight="1">
      <c r="A2296" s="18"/>
      <c r="B2296" s="27" t="s">
        <v>113</v>
      </c>
      <c r="C2296" s="358" t="s">
        <v>953</v>
      </c>
      <c r="D2296" s="358"/>
      <c r="E2296" s="358"/>
      <c r="F2296" s="358"/>
      <c r="G2296" s="358"/>
      <c r="H2296" s="358"/>
      <c r="I2296" s="358"/>
      <c r="J2296" s="358"/>
      <c r="K2296" s="358"/>
      <c r="L2296" s="358"/>
      <c r="M2296" s="358"/>
      <c r="N2296" s="358"/>
      <c r="O2296" s="358"/>
      <c r="P2296" s="358"/>
      <c r="Q2296" s="358"/>
      <c r="R2296" s="358"/>
      <c r="S2296" s="358"/>
      <c r="T2296" s="358"/>
      <c r="U2296" s="44"/>
      <c r="V2296" s="27"/>
    </row>
    <row r="2297" spans="1:22" s="20" customFormat="1" ht="15.75" customHeight="1">
      <c r="A2297" s="18"/>
      <c r="B2297" s="27"/>
      <c r="C2297" s="27"/>
      <c r="D2297" s="27"/>
      <c r="E2297" s="27"/>
      <c r="F2297" s="27"/>
      <c r="G2297" s="27"/>
      <c r="H2297" s="27"/>
      <c r="I2297" s="27"/>
      <c r="J2297" s="27"/>
      <c r="K2297" s="27"/>
      <c r="L2297" s="27"/>
      <c r="M2297" s="27"/>
      <c r="N2297" s="27"/>
      <c r="O2297" s="27"/>
      <c r="P2297" s="27"/>
      <c r="Q2297" s="27"/>
      <c r="R2297" s="27"/>
      <c r="S2297" s="27"/>
      <c r="T2297" s="44"/>
      <c r="U2297" s="44"/>
      <c r="V2297" s="27"/>
    </row>
    <row r="2298" spans="1:22" s="20" customFormat="1" ht="70.5" customHeight="1">
      <c r="A2298" s="18"/>
      <c r="B2298" s="358" t="s">
        <v>954</v>
      </c>
      <c r="C2298" s="358"/>
      <c r="D2298" s="358"/>
      <c r="E2298" s="358"/>
      <c r="F2298" s="358"/>
      <c r="G2298" s="358"/>
      <c r="H2298" s="358"/>
      <c r="I2298" s="358"/>
      <c r="J2298" s="358"/>
      <c r="K2298" s="358"/>
      <c r="L2298" s="358"/>
      <c r="M2298" s="358"/>
      <c r="N2298" s="358"/>
      <c r="O2298" s="358"/>
      <c r="P2298" s="358"/>
      <c r="Q2298" s="358"/>
      <c r="R2298" s="358"/>
      <c r="S2298" s="358"/>
      <c r="T2298" s="358"/>
      <c r="U2298" s="44"/>
      <c r="V2298" s="27"/>
    </row>
    <row r="2299" spans="1:22" s="20" customFormat="1" ht="56.25" customHeight="1">
      <c r="A2299" s="18"/>
      <c r="B2299" s="358"/>
      <c r="C2299" s="358"/>
      <c r="D2299" s="358"/>
      <c r="E2299" s="358"/>
      <c r="F2299" s="358"/>
      <c r="G2299" s="358"/>
      <c r="H2299" s="358"/>
      <c r="I2299" s="358"/>
      <c r="J2299" s="358"/>
      <c r="K2299" s="358"/>
      <c r="L2299" s="358"/>
      <c r="M2299" s="358"/>
      <c r="N2299" s="358"/>
      <c r="O2299" s="358"/>
      <c r="P2299" s="358"/>
      <c r="Q2299" s="358"/>
      <c r="R2299" s="358"/>
      <c r="S2299" s="358"/>
      <c r="T2299" s="44"/>
      <c r="U2299" s="44"/>
      <c r="V2299" s="27"/>
    </row>
    <row r="2300" spans="1:22" s="20" customFormat="1" ht="15.75" customHeight="1">
      <c r="A2300" s="18"/>
      <c r="B2300" s="27"/>
      <c r="C2300" s="27"/>
      <c r="D2300" s="27"/>
      <c r="E2300" s="27"/>
      <c r="F2300" s="27"/>
      <c r="G2300" s="27"/>
      <c r="H2300" s="27"/>
      <c r="I2300" s="27"/>
      <c r="J2300" s="27"/>
      <c r="K2300" s="27"/>
      <c r="L2300" s="27"/>
      <c r="M2300" s="27"/>
      <c r="N2300" s="27"/>
      <c r="O2300" s="27"/>
      <c r="P2300" s="27"/>
      <c r="Q2300" s="27"/>
      <c r="R2300" s="27"/>
      <c r="S2300" s="27"/>
      <c r="T2300" s="44"/>
      <c r="U2300" s="44"/>
      <c r="V2300" s="27"/>
    </row>
    <row r="2301" spans="1:22" s="20" customFormat="1" ht="15.75" customHeight="1">
      <c r="A2301" s="18"/>
      <c r="B2301" s="27"/>
      <c r="C2301" s="27"/>
      <c r="D2301" s="27"/>
      <c r="E2301" s="27"/>
      <c r="F2301" s="27"/>
      <c r="G2301" s="27"/>
      <c r="H2301" s="27"/>
      <c r="I2301" s="27"/>
      <c r="J2301" s="27"/>
      <c r="K2301" s="27"/>
      <c r="L2301" s="27"/>
      <c r="M2301" s="27"/>
      <c r="N2301" s="27"/>
      <c r="O2301" s="27"/>
      <c r="P2301" s="27"/>
      <c r="Q2301" s="27"/>
      <c r="R2301" s="27"/>
      <c r="S2301" s="27"/>
      <c r="T2301" s="44"/>
      <c r="U2301" s="44"/>
      <c r="V2301" s="27"/>
    </row>
    <row r="2302" spans="1:22" s="20" customFormat="1" ht="15.75" customHeight="1">
      <c r="A2302" s="18"/>
      <c r="B2302" s="27"/>
      <c r="C2302" s="27"/>
      <c r="D2302" s="27"/>
      <c r="E2302" s="27"/>
      <c r="F2302" s="27"/>
      <c r="G2302" s="27"/>
      <c r="H2302" s="27"/>
      <c r="I2302" s="27"/>
      <c r="J2302" s="27"/>
      <c r="K2302" s="27"/>
      <c r="L2302" s="27"/>
      <c r="M2302" s="27"/>
      <c r="N2302" s="27"/>
      <c r="O2302" s="27"/>
      <c r="P2302" s="27"/>
      <c r="Q2302" s="27"/>
      <c r="R2302" s="27"/>
      <c r="S2302" s="27"/>
      <c r="T2302" s="44"/>
      <c r="U2302" s="44"/>
      <c r="V2302" s="27"/>
    </row>
    <row r="2303" spans="1:22" s="20" customFormat="1" ht="15.75" customHeight="1">
      <c r="A2303" s="18"/>
      <c r="B2303" s="27"/>
      <c r="C2303" s="27"/>
      <c r="D2303" s="27"/>
      <c r="E2303" s="27"/>
      <c r="F2303" s="27"/>
      <c r="G2303" s="27"/>
      <c r="H2303" s="27"/>
      <c r="I2303" s="27"/>
      <c r="J2303" s="27"/>
      <c r="K2303" s="27"/>
      <c r="L2303" s="27"/>
      <c r="M2303" s="27"/>
      <c r="N2303" s="27"/>
      <c r="O2303" s="27"/>
      <c r="P2303" s="27"/>
      <c r="Q2303" s="27"/>
      <c r="R2303" s="27"/>
      <c r="S2303" s="27"/>
      <c r="T2303" s="44"/>
      <c r="U2303" s="44"/>
      <c r="V2303" s="27"/>
    </row>
    <row r="2304" spans="1:22" s="20" customFormat="1" ht="15.75" customHeight="1">
      <c r="A2304" s="18"/>
      <c r="B2304" s="27"/>
      <c r="C2304" s="27"/>
      <c r="D2304" s="27"/>
      <c r="E2304" s="27"/>
      <c r="F2304" s="27"/>
      <c r="G2304" s="27"/>
      <c r="H2304" s="27"/>
      <c r="I2304" s="27"/>
      <c r="J2304" s="27"/>
      <c r="K2304" s="27"/>
      <c r="L2304" s="27"/>
      <c r="M2304" s="27"/>
      <c r="N2304" s="27"/>
      <c r="O2304" s="27"/>
      <c r="P2304" s="27"/>
      <c r="Q2304" s="27"/>
      <c r="R2304" s="27"/>
      <c r="S2304" s="27"/>
      <c r="T2304" s="44"/>
      <c r="U2304" s="44"/>
      <c r="V2304" s="27"/>
    </row>
    <row r="2305" spans="1:22" s="20" customFormat="1" ht="15.75" customHeight="1">
      <c r="A2305" s="18"/>
      <c r="B2305" s="27"/>
      <c r="C2305" s="27"/>
      <c r="D2305" s="27"/>
      <c r="E2305" s="27"/>
      <c r="F2305" s="27"/>
      <c r="G2305" s="27"/>
      <c r="H2305" s="27"/>
      <c r="I2305" s="27"/>
      <c r="J2305" s="27"/>
      <c r="K2305" s="27"/>
      <c r="L2305" s="27"/>
      <c r="M2305" s="27"/>
      <c r="N2305" s="27"/>
      <c r="O2305" s="27"/>
      <c r="P2305" s="27"/>
      <c r="Q2305" s="27"/>
      <c r="R2305" s="27"/>
      <c r="S2305" s="27"/>
      <c r="T2305" s="44"/>
      <c r="U2305" s="44"/>
      <c r="V2305" s="27"/>
    </row>
    <row r="2306" spans="1:22" s="20" customFormat="1" ht="15.75" customHeight="1">
      <c r="A2306" s="18"/>
      <c r="B2306" s="27"/>
      <c r="C2306" s="27"/>
      <c r="D2306" s="27"/>
      <c r="E2306" s="27"/>
      <c r="F2306" s="27"/>
      <c r="G2306" s="27"/>
      <c r="H2306" s="27"/>
      <c r="I2306" s="27"/>
      <c r="J2306" s="27"/>
      <c r="K2306" s="27"/>
      <c r="L2306" s="27"/>
      <c r="M2306" s="27"/>
      <c r="N2306" s="27"/>
      <c r="O2306" s="27"/>
      <c r="P2306" s="27"/>
      <c r="Q2306" s="27"/>
      <c r="R2306" s="27"/>
      <c r="S2306" s="27"/>
      <c r="T2306" s="44"/>
      <c r="U2306" s="44"/>
      <c r="V2306" s="27"/>
    </row>
    <row r="2307" spans="1:22" s="20" customFormat="1" ht="15.75" customHeight="1">
      <c r="A2307" s="18"/>
      <c r="B2307" s="27"/>
      <c r="C2307" s="27"/>
      <c r="D2307" s="27"/>
      <c r="E2307" s="27"/>
      <c r="F2307" s="27"/>
      <c r="G2307" s="27"/>
      <c r="H2307" s="27"/>
      <c r="I2307" s="27"/>
      <c r="J2307" s="27"/>
      <c r="K2307" s="27"/>
      <c r="L2307" s="27"/>
      <c r="M2307" s="27"/>
      <c r="N2307" s="27"/>
      <c r="O2307" s="27"/>
      <c r="P2307" s="27"/>
      <c r="Q2307" s="27"/>
      <c r="R2307" s="27"/>
      <c r="S2307" s="27"/>
      <c r="T2307" s="44"/>
      <c r="U2307" s="44"/>
      <c r="V2307" s="27"/>
    </row>
    <row r="2308" spans="1:22" s="20" customFormat="1" ht="15.75" customHeight="1">
      <c r="A2308" s="18"/>
      <c r="B2308" s="27"/>
      <c r="C2308" s="27"/>
      <c r="D2308" s="27"/>
      <c r="E2308" s="27"/>
      <c r="F2308" s="27"/>
      <c r="G2308" s="27"/>
      <c r="H2308" s="27"/>
      <c r="I2308" s="27"/>
      <c r="J2308" s="27"/>
      <c r="K2308" s="27"/>
      <c r="L2308" s="27"/>
      <c r="M2308" s="27"/>
      <c r="N2308" s="27"/>
      <c r="O2308" s="27"/>
      <c r="P2308" s="27"/>
      <c r="Q2308" s="27"/>
      <c r="R2308" s="27"/>
      <c r="S2308" s="27"/>
      <c r="T2308" s="44"/>
      <c r="U2308" s="44"/>
      <c r="V2308" s="27"/>
    </row>
    <row r="2309" spans="1:22" s="20" customFormat="1" ht="15.75" customHeight="1">
      <c r="A2309" s="18"/>
      <c r="B2309" s="27"/>
      <c r="C2309" s="27"/>
      <c r="D2309" s="27"/>
      <c r="E2309" s="27"/>
      <c r="F2309" s="27"/>
      <c r="G2309" s="27"/>
      <c r="H2309" s="27"/>
      <c r="I2309" s="27"/>
      <c r="J2309" s="27"/>
      <c r="K2309" s="27"/>
      <c r="L2309" s="27"/>
      <c r="M2309" s="27"/>
      <c r="N2309" s="27"/>
      <c r="O2309" s="27"/>
      <c r="P2309" s="27"/>
      <c r="Q2309" s="27"/>
      <c r="R2309" s="27"/>
      <c r="S2309" s="27"/>
      <c r="T2309" s="44"/>
      <c r="U2309" s="44"/>
      <c r="V2309" s="27"/>
    </row>
    <row r="2310" spans="1:22" s="20" customFormat="1" ht="56.85" customHeight="1">
      <c r="A2310" s="18"/>
      <c r="B2310" s="27"/>
      <c r="C2310" s="27"/>
      <c r="D2310" s="27"/>
      <c r="E2310" s="27"/>
      <c r="F2310" s="27"/>
      <c r="G2310" s="27"/>
      <c r="H2310" s="27"/>
      <c r="I2310" s="27"/>
      <c r="J2310" s="27"/>
      <c r="K2310" s="27"/>
      <c r="L2310" s="27"/>
      <c r="M2310" s="27"/>
      <c r="N2310" s="27"/>
      <c r="O2310" s="27"/>
      <c r="P2310" s="27"/>
      <c r="Q2310" s="27"/>
      <c r="R2310" s="27"/>
      <c r="S2310" s="27"/>
      <c r="T2310" s="44"/>
      <c r="U2310" s="44"/>
      <c r="V2310" s="27"/>
    </row>
    <row r="2311" spans="1:22" s="20" customFormat="1" ht="56.85" customHeight="1">
      <c r="A2311" s="18"/>
      <c r="B2311" s="27"/>
      <c r="C2311" s="27"/>
      <c r="D2311" s="27"/>
      <c r="E2311" s="27"/>
      <c r="F2311" s="27"/>
      <c r="G2311" s="27"/>
      <c r="H2311" s="27"/>
      <c r="I2311" s="27"/>
      <c r="J2311" s="27"/>
      <c r="K2311" s="27"/>
      <c r="L2311" s="27"/>
      <c r="M2311" s="27"/>
      <c r="N2311" s="27"/>
      <c r="O2311" s="27"/>
      <c r="P2311" s="27"/>
      <c r="Q2311" s="27"/>
      <c r="R2311" s="27"/>
      <c r="S2311" s="27"/>
      <c r="T2311" s="44"/>
      <c r="U2311" s="44"/>
      <c r="V2311" s="27"/>
    </row>
    <row r="2312" spans="1:22" s="20" customFormat="1" ht="56.85" customHeight="1">
      <c r="A2312" s="18"/>
      <c r="B2312" s="27"/>
      <c r="C2312" s="27"/>
      <c r="D2312" s="27"/>
      <c r="E2312" s="27"/>
      <c r="F2312" s="27"/>
      <c r="G2312" s="27"/>
      <c r="H2312" s="27"/>
      <c r="I2312" s="27"/>
      <c r="J2312" s="27"/>
      <c r="K2312" s="27"/>
      <c r="L2312" s="27"/>
      <c r="M2312" s="27"/>
      <c r="N2312" s="27"/>
      <c r="O2312" s="27"/>
      <c r="P2312" s="27"/>
      <c r="Q2312" s="27"/>
      <c r="R2312" s="27"/>
      <c r="S2312" s="27"/>
      <c r="T2312" s="44"/>
      <c r="U2312" s="44"/>
      <c r="V2312" s="27"/>
    </row>
    <row r="2313" spans="1:22" s="20" customFormat="1" ht="56.85" customHeight="1">
      <c r="A2313" s="18"/>
      <c r="B2313" s="27"/>
      <c r="C2313" s="27"/>
      <c r="D2313" s="27"/>
      <c r="E2313" s="27"/>
      <c r="F2313" s="27"/>
      <c r="G2313" s="27"/>
      <c r="H2313" s="27"/>
      <c r="I2313" s="27"/>
      <c r="J2313" s="27"/>
      <c r="K2313" s="27"/>
      <c r="L2313" s="27"/>
      <c r="M2313" s="27"/>
      <c r="N2313" s="27"/>
      <c r="O2313" s="27"/>
      <c r="P2313" s="27"/>
      <c r="Q2313" s="27"/>
      <c r="R2313" s="27"/>
      <c r="S2313" s="27"/>
      <c r="T2313" s="44"/>
      <c r="U2313" s="44"/>
      <c r="V2313" s="27"/>
    </row>
    <row r="2314" spans="1:22" s="20" customFormat="1" ht="56.85" customHeight="1">
      <c r="A2314" s="18"/>
      <c r="B2314" s="27"/>
      <c r="C2314" s="27"/>
      <c r="D2314" s="27"/>
      <c r="E2314" s="27"/>
      <c r="F2314" s="27"/>
      <c r="G2314" s="27"/>
      <c r="H2314" s="27"/>
      <c r="I2314" s="27"/>
      <c r="J2314" s="27"/>
      <c r="K2314" s="27"/>
      <c r="L2314" s="27"/>
      <c r="M2314" s="27"/>
      <c r="N2314" s="27"/>
      <c r="O2314" s="27"/>
      <c r="P2314" s="27"/>
      <c r="Q2314" s="27"/>
      <c r="R2314" s="27"/>
      <c r="S2314" s="27"/>
      <c r="T2314" s="44"/>
      <c r="U2314" s="44"/>
      <c r="V2314" s="27"/>
    </row>
    <row r="2315" spans="1:22" s="20" customFormat="1" ht="56.85" customHeight="1">
      <c r="A2315" s="18"/>
      <c r="B2315" s="27"/>
      <c r="C2315" s="27"/>
      <c r="D2315" s="27"/>
      <c r="E2315" s="27"/>
      <c r="F2315" s="27"/>
      <c r="G2315" s="27"/>
      <c r="H2315" s="27"/>
      <c r="I2315" s="27"/>
      <c r="J2315" s="27"/>
      <c r="K2315" s="27"/>
      <c r="L2315" s="27"/>
      <c r="M2315" s="27"/>
      <c r="N2315" s="27"/>
      <c r="O2315" s="27"/>
      <c r="P2315" s="27"/>
      <c r="Q2315" s="27"/>
      <c r="R2315" s="27"/>
      <c r="S2315" s="27"/>
      <c r="T2315" s="44"/>
      <c r="U2315" s="44"/>
      <c r="V2315" s="27"/>
    </row>
    <row r="2316" spans="1:22" s="20" customFormat="1" ht="5.25" customHeight="1">
      <c r="A2316" s="18"/>
      <c r="B2316" s="27"/>
      <c r="C2316" s="27"/>
      <c r="D2316" s="27"/>
      <c r="E2316" s="27"/>
      <c r="F2316" s="27"/>
      <c r="G2316" s="27"/>
      <c r="H2316" s="27"/>
      <c r="I2316" s="27"/>
      <c r="J2316" s="27"/>
      <c r="K2316" s="27"/>
      <c r="L2316" s="27"/>
      <c r="M2316" s="27"/>
      <c r="N2316" s="27"/>
      <c r="O2316" s="27"/>
      <c r="P2316" s="27"/>
      <c r="Q2316" s="27"/>
      <c r="R2316" s="27"/>
      <c r="S2316" s="27"/>
      <c r="T2316" s="44"/>
      <c r="U2316" s="44"/>
      <c r="V2316" s="27"/>
    </row>
    <row r="2317" spans="1:22" s="20" customFormat="1" ht="111.75" hidden="1" customHeight="1">
      <c r="A2317" s="18"/>
      <c r="B2317" s="27"/>
      <c r="C2317" s="27"/>
      <c r="D2317" s="27"/>
      <c r="E2317" s="27"/>
      <c r="F2317" s="27"/>
      <c r="G2317" s="27"/>
      <c r="H2317" s="27"/>
      <c r="I2317" s="27"/>
      <c r="J2317" s="27"/>
      <c r="K2317" s="27"/>
      <c r="L2317" s="27"/>
      <c r="M2317" s="27"/>
      <c r="N2317" s="27"/>
      <c r="O2317" s="27"/>
      <c r="P2317" s="27"/>
      <c r="Q2317" s="27"/>
      <c r="R2317" s="27"/>
      <c r="S2317" s="27"/>
      <c r="T2317" s="44"/>
      <c r="U2317" s="44"/>
      <c r="V2317" s="27"/>
    </row>
    <row r="2318" spans="1:22" s="20" customFormat="1" ht="51.75" hidden="1" customHeight="1">
      <c r="A2318" s="18"/>
      <c r="B2318" s="27"/>
      <c r="C2318" s="27"/>
      <c r="D2318" s="27"/>
      <c r="E2318" s="27"/>
      <c r="F2318" s="27"/>
      <c r="G2318" s="27"/>
      <c r="H2318" s="27"/>
      <c r="I2318" s="27"/>
      <c r="J2318" s="27"/>
      <c r="K2318" s="27"/>
      <c r="L2318" s="27"/>
      <c r="M2318" s="27"/>
      <c r="N2318" s="27"/>
      <c r="O2318" s="27"/>
      <c r="P2318" s="27"/>
      <c r="Q2318" s="27"/>
      <c r="R2318" s="27"/>
      <c r="S2318" s="27"/>
      <c r="T2318" s="44"/>
      <c r="U2318" s="44"/>
      <c r="V2318" s="27"/>
    </row>
    <row r="2319" spans="1:22" s="20" customFormat="1" ht="30" customHeight="1">
      <c r="A2319" s="18"/>
      <c r="B2319" s="1146" t="s">
        <v>955</v>
      </c>
      <c r="C2319" s="1146"/>
      <c r="D2319" s="1146"/>
      <c r="E2319" s="1146"/>
      <c r="F2319" s="1146"/>
      <c r="G2319" s="1146"/>
      <c r="H2319" s="1146"/>
      <c r="I2319" s="1146"/>
      <c r="J2319" s="1146"/>
      <c r="K2319" s="1146"/>
      <c r="L2319" s="1146"/>
      <c r="M2319" s="1146"/>
      <c r="N2319" s="1146"/>
      <c r="O2319" s="1146"/>
      <c r="P2319" s="1146"/>
      <c r="Q2319" s="1146"/>
      <c r="R2319" s="1146"/>
      <c r="S2319" s="1146"/>
      <c r="T2319" s="1146"/>
      <c r="U2319" s="1146"/>
      <c r="V2319" s="27"/>
    </row>
    <row r="2320" spans="1:22" s="20" customFormat="1" ht="28.35" customHeight="1">
      <c r="A2320" s="18"/>
      <c r="B2320" s="1146" t="s">
        <v>956</v>
      </c>
      <c r="C2320" s="1146"/>
      <c r="D2320" s="1146"/>
      <c r="E2320" s="1146"/>
      <c r="F2320" s="1146"/>
      <c r="G2320" s="1146"/>
      <c r="H2320" s="1146"/>
      <c r="I2320" s="1146"/>
      <c r="J2320" s="1146"/>
      <c r="K2320" s="1146"/>
      <c r="L2320" s="1146"/>
      <c r="M2320" s="1146"/>
      <c r="N2320" s="1146"/>
      <c r="O2320" s="1146"/>
      <c r="P2320" s="1146"/>
      <c r="Q2320" s="1146"/>
      <c r="R2320" s="1146"/>
      <c r="S2320" s="1146"/>
      <c r="T2320" s="1146"/>
      <c r="U2320" s="1146"/>
      <c r="V2320" s="27"/>
    </row>
    <row r="2321" spans="1:40" s="20" customFormat="1" ht="18" customHeight="1">
      <c r="A2321" s="18"/>
      <c r="B2321" s="1147"/>
      <c r="C2321" s="6"/>
      <c r="D2321" s="6"/>
      <c r="E2321" s="6"/>
      <c r="F2321" s="6"/>
      <c r="G2321" s="6"/>
      <c r="H2321" s="6"/>
      <c r="I2321" s="6"/>
      <c r="J2321" s="6"/>
      <c r="K2321" s="6"/>
      <c r="L2321" s="6"/>
      <c r="M2321" s="6"/>
      <c r="N2321" s="6"/>
      <c r="O2321" s="6"/>
      <c r="P2321" s="6"/>
      <c r="Q2321" s="6"/>
      <c r="R2321" s="6"/>
      <c r="S2321" s="6"/>
      <c r="T2321" s="6"/>
      <c r="U2321" s="6"/>
      <c r="V2321" s="27"/>
    </row>
    <row r="2322" spans="1:40" s="20" customFormat="1" ht="89.25" customHeight="1">
      <c r="A2322" s="18"/>
      <c r="B2322" s="16" t="str">
        <f>"Laporan Keuangan Tahun Anggaran "&amp;'[1]2.ISIAN DATA SKPD'!D11&amp;"  "&amp;'[1]2.ISIAN DATA SKPD'!D2&amp;" merupakan informasi mengenai kemampuan merealisasikan pelaksanaan kegiatan berdasarkan anggaran pendapatan, belanja dan pembiayaan yang telah ditetapkan."</f>
        <v>Laporan Keuangan Tahun Anggaran 2017  Dinas Pekerjaan Umum dan Penataan Ruang merupakan informasi mengenai kemampuan merealisasikan pelaksanaan kegiatan berdasarkan anggaran pendapatan, belanja dan pembiayaan yang telah ditetapkan.</v>
      </c>
      <c r="C2322" s="16"/>
      <c r="D2322" s="16"/>
      <c r="E2322" s="16"/>
      <c r="F2322" s="16"/>
      <c r="G2322" s="16"/>
      <c r="H2322" s="16"/>
      <c r="I2322" s="16"/>
      <c r="J2322" s="16"/>
      <c r="K2322" s="16"/>
      <c r="L2322" s="16"/>
      <c r="M2322" s="16"/>
      <c r="N2322" s="16"/>
      <c r="O2322" s="16"/>
      <c r="P2322" s="16"/>
      <c r="Q2322" s="16"/>
      <c r="R2322" s="16"/>
      <c r="S2322" s="16"/>
      <c r="T2322" s="16"/>
      <c r="U2322" s="28"/>
      <c r="V2322" s="27"/>
    </row>
    <row r="2323" spans="1:40" s="20" customFormat="1" ht="114.75" customHeight="1">
      <c r="A2323" s="18"/>
      <c r="B2323" s="16" t="str">
        <f>"Laporan keuangan ini menyajikan perbandingan antara anggaran pendapatan, anggaran belanja  dan pembiayaan dengan realisasinya dalam tahun anggaran "&amp;'[1]2.ISIAN DATA SKPD'!D11&amp;" serta realisasi tahun anggaran sebelumnya, posisi kekayaan "&amp;'[1]2.ISIAN DATA SKPD'!D2&amp;" dan kegiatan operasional, perubahan saldo maupun perubahan ekuitas selama 1 periode akuntansi sesuai dengan standar akuntansi pemerintahan."</f>
        <v>Laporan keuangan ini menyajikan perbandingan antara anggaran pendapatan, anggaran belanja  dan pembiayaan dengan realisasinya dalam tahun anggaran 2017 serta realisasi tahun anggaran sebelumnya, posisi kekayaan Dinas Pekerjaan Umum dan Penataan Ruang dan kegiatan operasional, perubahan saldo maupun perubahan ekuitas selama 1 periode akuntansi sesuai dengan standar akuntansi pemerintahan.</v>
      </c>
      <c r="C2323" s="16"/>
      <c r="D2323" s="16"/>
      <c r="E2323" s="16"/>
      <c r="F2323" s="16"/>
      <c r="G2323" s="16"/>
      <c r="H2323" s="16"/>
      <c r="I2323" s="16"/>
      <c r="J2323" s="16"/>
      <c r="K2323" s="16"/>
      <c r="L2323" s="16"/>
      <c r="M2323" s="16"/>
      <c r="N2323" s="16"/>
      <c r="O2323" s="16"/>
      <c r="P2323" s="16"/>
      <c r="Q2323" s="16"/>
      <c r="R2323" s="16"/>
      <c r="S2323" s="16"/>
      <c r="T2323" s="16"/>
      <c r="U2323" s="28"/>
      <c r="V2323" s="27"/>
    </row>
    <row r="2324" spans="1:40" s="20" customFormat="1" ht="67.5" customHeight="1">
      <c r="A2324" s="18"/>
      <c r="B2324" s="16" t="str">
        <f>"Demikian laporan keuangan ini disusun dengan penjelasan yang memadai sebagai bahan konsolidasi penyusunan Laporan Keuangan Pemerintah Daerah Kabupaten Wonosobo tahun anggaran "&amp;'[1]2.ISIAN DATA SKPD'!D11&amp;"."</f>
        <v>Demikian laporan keuangan ini disusun dengan penjelasan yang memadai sebagai bahan konsolidasi penyusunan Laporan Keuangan Pemerintah Daerah Kabupaten Wonosobo tahun anggaran 2017.</v>
      </c>
      <c r="C2324" s="16"/>
      <c r="D2324" s="16"/>
      <c r="E2324" s="16"/>
      <c r="F2324" s="16"/>
      <c r="G2324" s="16"/>
      <c r="H2324" s="16"/>
      <c r="I2324" s="16"/>
      <c r="J2324" s="16"/>
      <c r="K2324" s="16"/>
      <c r="L2324" s="16"/>
      <c r="M2324" s="16"/>
      <c r="N2324" s="16"/>
      <c r="O2324" s="16"/>
      <c r="P2324" s="16"/>
      <c r="Q2324" s="16"/>
      <c r="R2324" s="16"/>
      <c r="S2324" s="16"/>
      <c r="T2324" s="16"/>
      <c r="U2324" s="28"/>
      <c r="V2324" s="27"/>
    </row>
    <row r="2325" spans="1:40" s="20" customFormat="1" ht="20.25" customHeight="1">
      <c r="A2325" s="18"/>
      <c r="B2325" s="28"/>
      <c r="C2325" s="28"/>
      <c r="D2325" s="28"/>
      <c r="E2325" s="28"/>
      <c r="F2325" s="28"/>
      <c r="G2325" s="28"/>
      <c r="H2325" s="28"/>
      <c r="I2325" s="28"/>
      <c r="J2325" s="28"/>
      <c r="K2325" s="28"/>
      <c r="L2325" s="28"/>
      <c r="M2325" s="28"/>
      <c r="N2325" s="28"/>
      <c r="O2325" s="28"/>
      <c r="P2325" s="28"/>
      <c r="Q2325" s="28"/>
      <c r="R2325" s="28"/>
      <c r="S2325" s="28"/>
      <c r="T2325" s="28"/>
      <c r="U2325" s="28"/>
      <c r="V2325" s="27"/>
    </row>
    <row r="2326" spans="1:40" s="20" customFormat="1" ht="31.5" customHeight="1">
      <c r="A2326" s="18"/>
      <c r="B2326" s="28"/>
      <c r="C2326" s="28"/>
      <c r="D2326" s="28"/>
      <c r="E2326" s="28"/>
      <c r="F2326" s="28"/>
      <c r="G2326" s="28"/>
      <c r="H2326" s="28"/>
      <c r="I2326" s="28"/>
      <c r="J2326" s="28"/>
      <c r="K2326" s="1148"/>
      <c r="L2326" s="1149" t="str">
        <f>"Wonosobo, "&amp;'[1]2.ISIAN DATA SKPD'!D19&amp;""</f>
        <v>Wonosobo, 15  Februari 2018</v>
      </c>
      <c r="M2326" s="1149"/>
      <c r="N2326" s="1149"/>
      <c r="O2326" s="1149"/>
      <c r="P2326" s="1149"/>
      <c r="Q2326" s="1149"/>
      <c r="R2326" s="1149"/>
      <c r="S2326" s="1149"/>
      <c r="T2326" s="1149"/>
      <c r="U2326" s="1149"/>
      <c r="V2326" s="27"/>
      <c r="AN2326" s="3"/>
    </row>
    <row r="2327" spans="1:40" s="20" customFormat="1" ht="30" customHeight="1">
      <c r="A2327" s="18"/>
      <c r="B2327" s="28"/>
      <c r="C2327" s="28"/>
      <c r="D2327" s="28"/>
      <c r="E2327" s="28"/>
      <c r="F2327" s="28"/>
      <c r="G2327" s="28"/>
      <c r="H2327" s="28"/>
      <c r="I2327" s="28"/>
      <c r="J2327" s="28"/>
      <c r="K2327" s="1148"/>
      <c r="L2327" s="1150" t="s">
        <v>957</v>
      </c>
      <c r="M2327" s="1150"/>
      <c r="N2327" s="1150"/>
      <c r="O2327" s="1150"/>
      <c r="P2327" s="1150"/>
      <c r="Q2327" s="1150"/>
      <c r="R2327" s="1150"/>
      <c r="S2327" s="1150"/>
      <c r="T2327" s="1150"/>
      <c r="U2327" s="1150"/>
      <c r="V2327" s="27"/>
      <c r="AN2327" s="3"/>
    </row>
    <row r="2328" spans="1:40" s="20" customFormat="1" ht="15.75" hidden="1" customHeight="1">
      <c r="A2328" s="18"/>
      <c r="B2328" s="28"/>
      <c r="C2328" s="28"/>
      <c r="D2328" s="28"/>
      <c r="E2328" s="28"/>
      <c r="F2328" s="28"/>
      <c r="G2328" s="28"/>
      <c r="H2328" s="28"/>
      <c r="I2328" s="28"/>
      <c r="J2328" s="28"/>
      <c r="K2328" s="1148"/>
      <c r="L2328" s="1150"/>
      <c r="M2328" s="1150"/>
      <c r="N2328" s="1150"/>
      <c r="O2328" s="1150"/>
      <c r="P2328" s="1150"/>
      <c r="Q2328" s="1150"/>
      <c r="R2328" s="1150"/>
      <c r="S2328" s="1150"/>
      <c r="T2328" s="1150"/>
      <c r="U2328" s="1150"/>
      <c r="V2328" s="27"/>
      <c r="AN2328" s="3"/>
    </row>
    <row r="2329" spans="1:40" ht="36" customHeight="1">
      <c r="A2329" s="18"/>
      <c r="B2329" s="28"/>
      <c r="C2329" s="28"/>
      <c r="D2329" s="28"/>
      <c r="E2329" s="28"/>
      <c r="F2329" s="28"/>
      <c r="G2329" s="28"/>
      <c r="H2329" s="28"/>
      <c r="I2329" s="28"/>
      <c r="J2329" s="28"/>
      <c r="K2329" s="1148"/>
      <c r="L2329" s="1148"/>
      <c r="M2329" s="1151"/>
      <c r="N2329" s="1151"/>
      <c r="O2329" s="1151"/>
      <c r="P2329" s="1151"/>
      <c r="Q2329" s="1151"/>
      <c r="R2329" s="1151"/>
      <c r="S2329" s="1151"/>
      <c r="T2329" s="28"/>
      <c r="U2329" s="28"/>
      <c r="V2329" s="27"/>
      <c r="W2329" s="20"/>
      <c r="X2329" s="20"/>
      <c r="Y2329" s="20"/>
      <c r="Z2329" s="20"/>
      <c r="AA2329" s="20"/>
      <c r="AB2329" s="20"/>
      <c r="AC2329" s="20"/>
      <c r="AD2329" s="20"/>
      <c r="AE2329" s="20"/>
      <c r="AF2329" s="20"/>
      <c r="AG2329" s="20"/>
      <c r="AH2329" s="20"/>
      <c r="AI2329" s="20"/>
      <c r="AJ2329" s="20"/>
      <c r="AK2329" s="20"/>
      <c r="AL2329" s="20"/>
      <c r="AM2329" s="20"/>
    </row>
    <row r="2330" spans="1:40" ht="45.75" customHeight="1">
      <c r="A2330" s="18"/>
      <c r="B2330" s="28"/>
      <c r="C2330" s="28"/>
      <c r="D2330" s="28"/>
      <c r="E2330" s="28"/>
      <c r="F2330" s="28"/>
      <c r="G2330" s="28"/>
      <c r="H2330" s="28"/>
      <c r="I2330" s="28"/>
      <c r="J2330" s="28"/>
      <c r="K2330" s="1148"/>
      <c r="L2330" s="1148"/>
      <c r="M2330" s="1151"/>
      <c r="N2330" s="1151"/>
      <c r="O2330" s="1151"/>
      <c r="P2330" s="1151"/>
      <c r="Q2330" s="1151"/>
      <c r="R2330" s="1151"/>
      <c r="S2330" s="1151"/>
      <c r="T2330" s="28"/>
      <c r="U2330" s="28"/>
      <c r="V2330" s="27"/>
      <c r="W2330" s="20"/>
      <c r="X2330" s="20"/>
      <c r="Y2330" s="20"/>
      <c r="Z2330" s="20"/>
      <c r="AA2330" s="20"/>
      <c r="AB2330" s="20"/>
      <c r="AC2330" s="20"/>
      <c r="AD2330" s="20"/>
      <c r="AE2330" s="20"/>
      <c r="AF2330" s="20"/>
      <c r="AG2330" s="20"/>
      <c r="AH2330" s="20"/>
      <c r="AI2330" s="20"/>
      <c r="AJ2330" s="20"/>
      <c r="AK2330" s="20"/>
      <c r="AL2330" s="20"/>
      <c r="AM2330" s="20"/>
    </row>
    <row r="2331" spans="1:40" ht="15.75">
      <c r="A2331" s="18"/>
      <c r="B2331" s="28"/>
      <c r="C2331" s="28"/>
      <c r="D2331" s="28"/>
      <c r="E2331" s="28"/>
      <c r="F2331" s="28"/>
      <c r="G2331" s="28"/>
      <c r="H2331" s="28"/>
      <c r="I2331" s="28"/>
      <c r="J2331" s="28"/>
      <c r="K2331" s="1148"/>
      <c r="L2331" s="1152" t="str">
        <f>'[1]2.ISIAN DATA SKPD'!D13</f>
        <v>Ir.WIDI PURWANTO,MT</v>
      </c>
      <c r="M2331" s="1152"/>
      <c r="N2331" s="1152"/>
      <c r="O2331" s="1152"/>
      <c r="P2331" s="1152"/>
      <c r="Q2331" s="1152"/>
      <c r="R2331" s="1152"/>
      <c r="S2331" s="1152"/>
      <c r="T2331" s="1152"/>
      <c r="U2331" s="1152"/>
      <c r="V2331" s="27"/>
      <c r="W2331" s="20"/>
      <c r="X2331" s="20"/>
      <c r="Y2331" s="20"/>
      <c r="Z2331" s="20"/>
      <c r="AA2331" s="20"/>
      <c r="AB2331" s="20"/>
      <c r="AC2331" s="20"/>
      <c r="AD2331" s="20"/>
      <c r="AE2331" s="20"/>
      <c r="AF2331" s="20"/>
      <c r="AG2331" s="20"/>
      <c r="AH2331" s="20"/>
      <c r="AI2331" s="20"/>
      <c r="AJ2331" s="20"/>
      <c r="AK2331" s="20"/>
      <c r="AL2331" s="20"/>
      <c r="AM2331" s="20"/>
    </row>
    <row r="2332" spans="1:40" ht="15.75">
      <c r="A2332" s="18"/>
      <c r="B2332" s="20"/>
      <c r="C2332" s="20"/>
      <c r="D2332" s="20"/>
      <c r="E2332" s="20"/>
      <c r="F2332" s="20"/>
      <c r="G2332" s="20"/>
      <c r="H2332" s="20"/>
      <c r="I2332" s="20"/>
      <c r="J2332" s="20"/>
      <c r="K2332" s="1148"/>
      <c r="L2332" s="1153" t="str">
        <f>"NIP. "&amp;'[1]2.ISIAN DATA SKPD'!D14&amp;""</f>
        <v>NIP. 196207171991021001</v>
      </c>
      <c r="M2332" s="1153"/>
      <c r="N2332" s="1153"/>
      <c r="O2332" s="1153"/>
      <c r="P2332" s="1153"/>
      <c r="Q2332" s="1153"/>
      <c r="R2332" s="1153"/>
      <c r="S2332" s="1153"/>
      <c r="T2332" s="1153"/>
      <c r="U2332" s="1153"/>
      <c r="V2332" s="27"/>
      <c r="W2332" s="20"/>
      <c r="X2332" s="20"/>
      <c r="Y2332" s="20"/>
      <c r="Z2332" s="20"/>
      <c r="AA2332" s="20"/>
      <c r="AB2332" s="20"/>
      <c r="AC2332" s="20"/>
      <c r="AD2332" s="20"/>
      <c r="AE2332" s="20"/>
      <c r="AF2332" s="20"/>
      <c r="AG2332" s="20"/>
      <c r="AH2332" s="20"/>
      <c r="AI2332" s="20"/>
      <c r="AJ2332" s="20"/>
      <c r="AK2332" s="20"/>
      <c r="AL2332" s="20"/>
      <c r="AM2332" s="20"/>
    </row>
    <row r="2333" spans="1:40" ht="15.75">
      <c r="A2333" s="18"/>
      <c r="B2333" s="27"/>
      <c r="C2333" s="27"/>
      <c r="D2333" s="27"/>
      <c r="E2333" s="27"/>
      <c r="F2333" s="27"/>
      <c r="G2333" s="27"/>
      <c r="H2333" s="27"/>
      <c r="I2333" s="27"/>
      <c r="J2333" s="27"/>
      <c r="K2333" s="1154"/>
      <c r="L2333" s="1154"/>
      <c r="M2333" s="1155"/>
      <c r="N2333" s="1155"/>
      <c r="O2333" s="1155"/>
      <c r="P2333" s="1155"/>
      <c r="Q2333" s="1155"/>
      <c r="R2333" s="1155"/>
      <c r="S2333" s="1155"/>
      <c r="T2333" s="44"/>
      <c r="U2333" s="44"/>
      <c r="V2333" s="27"/>
      <c r="W2333" s="20"/>
      <c r="X2333" s="20"/>
      <c r="Y2333" s="20"/>
      <c r="Z2333" s="20"/>
      <c r="AA2333" s="20"/>
      <c r="AB2333" s="20"/>
      <c r="AC2333" s="20"/>
      <c r="AD2333" s="20"/>
      <c r="AE2333" s="20"/>
      <c r="AF2333" s="20"/>
      <c r="AG2333" s="20"/>
      <c r="AH2333" s="20"/>
      <c r="AI2333" s="20"/>
      <c r="AJ2333" s="20"/>
      <c r="AK2333" s="20"/>
      <c r="AL2333" s="20"/>
      <c r="AM2333" s="20"/>
    </row>
    <row r="2334" spans="1:40">
      <c r="A2334" s="42"/>
      <c r="B2334" s="27"/>
      <c r="C2334" s="27"/>
      <c r="D2334" s="27"/>
      <c r="E2334" s="27"/>
      <c r="F2334" s="27"/>
      <c r="G2334" s="27"/>
      <c r="H2334" s="27"/>
      <c r="I2334" s="27"/>
      <c r="J2334" s="27"/>
      <c r="K2334" s="27"/>
      <c r="L2334" s="27"/>
      <c r="M2334" s="27"/>
      <c r="N2334" s="27"/>
      <c r="O2334" s="27"/>
      <c r="P2334" s="27"/>
      <c r="Q2334" s="27"/>
      <c r="R2334" s="27"/>
      <c r="S2334" s="27"/>
      <c r="T2334" s="44"/>
      <c r="U2334" s="44"/>
      <c r="V2334" s="27"/>
      <c r="W2334" s="20"/>
      <c r="X2334" s="20"/>
      <c r="Y2334" s="20"/>
      <c r="Z2334" s="20"/>
      <c r="AA2334" s="20"/>
      <c r="AB2334" s="20"/>
      <c r="AC2334" s="20"/>
      <c r="AD2334" s="20"/>
      <c r="AE2334" s="20"/>
      <c r="AF2334" s="20"/>
      <c r="AG2334" s="20"/>
      <c r="AH2334" s="20"/>
      <c r="AI2334" s="20"/>
      <c r="AJ2334" s="20"/>
      <c r="AK2334" s="20"/>
      <c r="AL2334" s="20"/>
      <c r="AM2334" s="20"/>
    </row>
    <row r="2335" spans="1:40">
      <c r="A2335" s="42"/>
      <c r="B2335" s="27"/>
      <c r="C2335" s="27"/>
      <c r="D2335" s="27"/>
      <c r="E2335" s="27"/>
      <c r="F2335" s="27"/>
      <c r="G2335" s="27"/>
      <c r="H2335" s="27"/>
      <c r="I2335" s="27"/>
      <c r="J2335" s="27"/>
      <c r="K2335" s="27"/>
      <c r="L2335" s="27"/>
      <c r="M2335" s="27"/>
      <c r="N2335" s="27"/>
      <c r="O2335" s="27"/>
      <c r="P2335" s="27"/>
      <c r="Q2335" s="27"/>
      <c r="R2335" s="27"/>
      <c r="S2335" s="27"/>
      <c r="T2335" s="44"/>
      <c r="U2335" s="44"/>
      <c r="AG2335" s="20"/>
      <c r="AH2335" s="20"/>
      <c r="AI2335" s="20"/>
      <c r="AJ2335" s="20"/>
      <c r="AK2335" s="20"/>
      <c r="AL2335" s="20"/>
      <c r="AM2335" s="20"/>
    </row>
    <row r="2336" spans="1:40">
      <c r="B2336" s="27"/>
      <c r="C2336" s="27"/>
      <c r="D2336" s="27"/>
      <c r="E2336" s="27"/>
      <c r="F2336" s="27"/>
      <c r="G2336" s="27"/>
      <c r="H2336" s="27"/>
      <c r="I2336" s="27"/>
      <c r="J2336" s="27"/>
      <c r="K2336" s="27"/>
      <c r="L2336" s="27"/>
      <c r="M2336" s="27"/>
      <c r="N2336" s="27"/>
      <c r="O2336" s="27"/>
      <c r="P2336" s="27"/>
      <c r="Q2336" s="27"/>
      <c r="R2336" s="27"/>
      <c r="S2336" s="27"/>
      <c r="T2336" s="44"/>
      <c r="U2336" s="44"/>
      <c r="AG2336" s="20"/>
      <c r="AH2336" s="20"/>
      <c r="AI2336" s="20"/>
      <c r="AJ2336" s="20"/>
      <c r="AK2336" s="20"/>
      <c r="AL2336" s="20"/>
      <c r="AM2336" s="20"/>
    </row>
    <row r="2337" spans="2:39">
      <c r="B2337" s="27"/>
      <c r="C2337" s="27"/>
      <c r="D2337" s="27"/>
      <c r="E2337" s="27"/>
      <c r="F2337" s="27"/>
      <c r="G2337" s="27"/>
      <c r="H2337" s="27"/>
      <c r="I2337" s="27"/>
      <c r="J2337" s="27"/>
      <c r="K2337" s="27"/>
      <c r="L2337" s="27"/>
      <c r="M2337" s="27"/>
      <c r="N2337" s="27"/>
      <c r="O2337" s="27"/>
      <c r="P2337" s="27"/>
      <c r="Q2337" s="27"/>
      <c r="R2337" s="27"/>
      <c r="S2337" s="27"/>
      <c r="T2337" s="44"/>
      <c r="U2337" s="44"/>
      <c r="AG2337" s="20"/>
      <c r="AH2337" s="20"/>
      <c r="AI2337" s="20"/>
      <c r="AJ2337" s="20"/>
      <c r="AK2337" s="20"/>
      <c r="AL2337" s="20"/>
      <c r="AM2337" s="20"/>
    </row>
    <row r="2338" spans="2:39">
      <c r="B2338" s="27"/>
      <c r="C2338" s="27"/>
      <c r="D2338" s="27"/>
      <c r="E2338" s="27"/>
      <c r="F2338" s="27"/>
      <c r="G2338" s="27"/>
      <c r="H2338" s="27"/>
      <c r="I2338" s="27"/>
      <c r="J2338" s="27"/>
      <c r="K2338" s="27"/>
      <c r="L2338" s="27"/>
      <c r="M2338" s="27"/>
      <c r="N2338" s="27"/>
      <c r="O2338" s="27"/>
      <c r="P2338" s="27"/>
      <c r="Q2338" s="27"/>
      <c r="R2338" s="27"/>
      <c r="S2338" s="27"/>
      <c r="T2338" s="44"/>
      <c r="U2338" s="44"/>
      <c r="AG2338" s="20"/>
      <c r="AH2338" s="20"/>
      <c r="AI2338" s="20"/>
    </row>
    <row r="2339" spans="2:39">
      <c r="B2339" s="27"/>
      <c r="C2339" s="27"/>
      <c r="D2339" s="27"/>
      <c r="E2339" s="27"/>
      <c r="F2339" s="27"/>
      <c r="G2339" s="27"/>
      <c r="H2339" s="27"/>
      <c r="I2339" s="27"/>
      <c r="J2339" s="27"/>
      <c r="K2339" s="27"/>
      <c r="L2339" s="27"/>
      <c r="M2339" s="27"/>
      <c r="N2339" s="27"/>
      <c r="O2339" s="27"/>
      <c r="P2339" s="27"/>
      <c r="Q2339" s="27"/>
      <c r="R2339" s="27"/>
      <c r="S2339" s="27"/>
      <c r="T2339" s="44"/>
      <c r="U2339" s="44"/>
    </row>
    <row r="2343" spans="2:39" ht="120" customHeight="1"/>
    <row r="2421" spans="2:21">
      <c r="T2421" s="3"/>
      <c r="U2421" s="3"/>
    </row>
    <row r="2422" spans="2:21">
      <c r="T2422" s="3"/>
      <c r="U2422" s="3"/>
    </row>
    <row r="2423" spans="2:21">
      <c r="T2423" s="3"/>
      <c r="U2423" s="3"/>
    </row>
    <row r="2424" spans="2:21">
      <c r="T2424" s="3"/>
      <c r="U2424" s="3"/>
    </row>
    <row r="2425" spans="2:21">
      <c r="T2425" s="3"/>
      <c r="U2425" s="3"/>
    </row>
    <row r="2426" spans="2:21">
      <c r="T2426" s="3"/>
      <c r="U2426" s="3"/>
    </row>
    <row r="2427" spans="2:21" ht="15.75">
      <c r="B2427" s="1156"/>
    </row>
    <row r="2428" spans="2:21" ht="15.75">
      <c r="B2428" s="1156"/>
    </row>
    <row r="2429" spans="2:21" ht="330.75">
      <c r="B2429" s="1157"/>
      <c r="C2429" s="1158" t="s">
        <v>958</v>
      </c>
    </row>
    <row r="2430" spans="2:21" ht="15.75">
      <c r="B2430" s="1157"/>
      <c r="C2430" s="1159"/>
    </row>
    <row r="2431" spans="2:21" ht="15.75">
      <c r="B2431" s="1157"/>
      <c r="C2431" s="1160" t="s">
        <v>959</v>
      </c>
    </row>
    <row r="2432" spans="2:21" ht="15.75">
      <c r="B2432" s="1157"/>
      <c r="C2432" s="1160"/>
    </row>
    <row r="2433" spans="2:3" ht="15.75">
      <c r="B2433" s="1157"/>
      <c r="C2433" s="1161"/>
    </row>
    <row r="2434" spans="2:3" ht="15.75">
      <c r="B2434" s="1157"/>
      <c r="C2434" s="1161"/>
    </row>
    <row r="2435" spans="2:3" ht="15.75">
      <c r="B2435" s="1157"/>
      <c r="C2435" s="1161"/>
    </row>
  </sheetData>
  <mergeCells count="5542">
    <mergeCell ref="B2429:B2435"/>
    <mergeCell ref="L2326:U2326"/>
    <mergeCell ref="L2327:U2328"/>
    <mergeCell ref="L2331:U2331"/>
    <mergeCell ref="L2332:U2332"/>
    <mergeCell ref="K2333:L2333"/>
    <mergeCell ref="M2333:S2333"/>
    <mergeCell ref="B2299:S2299"/>
    <mergeCell ref="B2319:U2319"/>
    <mergeCell ref="B2320:U2320"/>
    <mergeCell ref="B2322:T2322"/>
    <mergeCell ref="B2323:T2323"/>
    <mergeCell ref="B2324:T2324"/>
    <mergeCell ref="B2291:U2291"/>
    <mergeCell ref="B2293:T2293"/>
    <mergeCell ref="C2294:T2294"/>
    <mergeCell ref="C2295:T2295"/>
    <mergeCell ref="C2296:T2296"/>
    <mergeCell ref="B2298:T2298"/>
    <mergeCell ref="C2286:N2286"/>
    <mergeCell ref="P2286:U2286"/>
    <mergeCell ref="C2287:N2287"/>
    <mergeCell ref="P2287:U2287"/>
    <mergeCell ref="P2288:U2288"/>
    <mergeCell ref="B2290:U2290"/>
    <mergeCell ref="C2283:N2283"/>
    <mergeCell ref="P2283:U2283"/>
    <mergeCell ref="C2284:N2284"/>
    <mergeCell ref="P2284:U2284"/>
    <mergeCell ref="C2285:N2285"/>
    <mergeCell ref="P2285:U2285"/>
    <mergeCell ref="C2279:N2279"/>
    <mergeCell ref="P2279:U2279"/>
    <mergeCell ref="C2281:N2281"/>
    <mergeCell ref="P2281:U2281"/>
    <mergeCell ref="C2282:N2282"/>
    <mergeCell ref="P2282:U2282"/>
    <mergeCell ref="C2276:N2276"/>
    <mergeCell ref="P2276:U2276"/>
    <mergeCell ref="C2277:N2277"/>
    <mergeCell ref="P2277:U2277"/>
    <mergeCell ref="C2278:N2278"/>
    <mergeCell ref="P2278:U2278"/>
    <mergeCell ref="C2265:U2265"/>
    <mergeCell ref="C2266:U2266"/>
    <mergeCell ref="C2268:U2268"/>
    <mergeCell ref="C2271:U2271"/>
    <mergeCell ref="C2274:U2274"/>
    <mergeCell ref="C2275:N2275"/>
    <mergeCell ref="P2275:U2275"/>
    <mergeCell ref="C2256:U2256"/>
    <mergeCell ref="D2257:U2257"/>
    <mergeCell ref="C2258:U2258"/>
    <mergeCell ref="D2259:U2259"/>
    <mergeCell ref="C2262:U2262"/>
    <mergeCell ref="C2264:U2264"/>
    <mergeCell ref="D2249:K2249"/>
    <mergeCell ref="L2249:R2249"/>
    <mergeCell ref="D2250:K2250"/>
    <mergeCell ref="L2250:R2250"/>
    <mergeCell ref="D2251:U2251"/>
    <mergeCell ref="C2253:U2253"/>
    <mergeCell ref="D2244:U2244"/>
    <mergeCell ref="D2245:U2245"/>
    <mergeCell ref="D2246:R2246"/>
    <mergeCell ref="D2247:K2247"/>
    <mergeCell ref="L2247:R2247"/>
    <mergeCell ref="D2248:K2248"/>
    <mergeCell ref="L2248:R2248"/>
    <mergeCell ref="D2239:K2239"/>
    <mergeCell ref="L2239:R2239"/>
    <mergeCell ref="D2240:K2240"/>
    <mergeCell ref="L2240:R2240"/>
    <mergeCell ref="A2241:A2243"/>
    <mergeCell ref="D2241:K2241"/>
    <mergeCell ref="L2241:R2241"/>
    <mergeCell ref="D2243:U2243"/>
    <mergeCell ref="D2235:R2235"/>
    <mergeCell ref="D2236:K2236"/>
    <mergeCell ref="L2236:R2236"/>
    <mergeCell ref="D2237:K2237"/>
    <mergeCell ref="L2237:R2237"/>
    <mergeCell ref="D2238:K2238"/>
    <mergeCell ref="L2238:R2238"/>
    <mergeCell ref="D2229:K2229"/>
    <mergeCell ref="L2229:R2229"/>
    <mergeCell ref="D2230:K2230"/>
    <mergeCell ref="L2230:R2230"/>
    <mergeCell ref="D2232:U2232"/>
    <mergeCell ref="D2233:U2233"/>
    <mergeCell ref="D2226:K2226"/>
    <mergeCell ref="L2226:R2226"/>
    <mergeCell ref="D2227:K2227"/>
    <mergeCell ref="L2227:R2227"/>
    <mergeCell ref="D2228:K2228"/>
    <mergeCell ref="L2228:R2228"/>
    <mergeCell ref="D2220:U2220"/>
    <mergeCell ref="D2221:U2221"/>
    <mergeCell ref="D2222:U2222"/>
    <mergeCell ref="D2223:U2223"/>
    <mergeCell ref="D2224:U2224"/>
    <mergeCell ref="D2225:K2225"/>
    <mergeCell ref="L2225:R2225"/>
    <mergeCell ref="D2215:K2215"/>
    <mergeCell ref="L2215:R2215"/>
    <mergeCell ref="D2216:K2216"/>
    <mergeCell ref="L2216:R2216"/>
    <mergeCell ref="A2217:A2218"/>
    <mergeCell ref="D2217:K2217"/>
    <mergeCell ref="L2217:R2217"/>
    <mergeCell ref="D2218:K2218"/>
    <mergeCell ref="L2218:R2218"/>
    <mergeCell ref="D2208:K2208"/>
    <mergeCell ref="L2208:R2208"/>
    <mergeCell ref="D2210:U2210"/>
    <mergeCell ref="D2211:U2211"/>
    <mergeCell ref="D2212:U2212"/>
    <mergeCell ref="D2214:R2214"/>
    <mergeCell ref="D2205:K2205"/>
    <mergeCell ref="L2205:R2205"/>
    <mergeCell ref="D2206:K2206"/>
    <mergeCell ref="L2206:R2206"/>
    <mergeCell ref="D2207:K2207"/>
    <mergeCell ref="L2207:R2207"/>
    <mergeCell ref="D2201:R2201"/>
    <mergeCell ref="D2202:K2202"/>
    <mergeCell ref="L2202:R2202"/>
    <mergeCell ref="D2203:K2203"/>
    <mergeCell ref="L2203:R2203"/>
    <mergeCell ref="D2204:K2204"/>
    <mergeCell ref="L2204:R2204"/>
    <mergeCell ref="D2194:U2194"/>
    <mergeCell ref="D2195:U2195"/>
    <mergeCell ref="D2196:U2196"/>
    <mergeCell ref="D2197:U2197"/>
    <mergeCell ref="D2198:U2198"/>
    <mergeCell ref="D2199:U2199"/>
    <mergeCell ref="D2190:K2190"/>
    <mergeCell ref="L2190:R2190"/>
    <mergeCell ref="D2191:K2191"/>
    <mergeCell ref="L2191:R2191"/>
    <mergeCell ref="A2192:A2193"/>
    <mergeCell ref="D2192:K2192"/>
    <mergeCell ref="L2192:R2192"/>
    <mergeCell ref="D2184:U2184"/>
    <mergeCell ref="D2185:U2185"/>
    <mergeCell ref="D2186:U2186"/>
    <mergeCell ref="D2188:R2188"/>
    <mergeCell ref="D2189:K2189"/>
    <mergeCell ref="L2189:R2189"/>
    <mergeCell ref="D2180:K2180"/>
    <mergeCell ref="L2180:R2180"/>
    <mergeCell ref="D2181:K2181"/>
    <mergeCell ref="L2181:R2181"/>
    <mergeCell ref="D2182:K2182"/>
    <mergeCell ref="L2182:R2182"/>
    <mergeCell ref="R2173:S2173"/>
    <mergeCell ref="D2174:U2174"/>
    <mergeCell ref="D2175:U2175"/>
    <mergeCell ref="D2176:U2176"/>
    <mergeCell ref="D2178:R2178"/>
    <mergeCell ref="D2179:K2179"/>
    <mergeCell ref="L2179:R2179"/>
    <mergeCell ref="P2167:U2167"/>
    <mergeCell ref="P2168:U2168"/>
    <mergeCell ref="P2169:U2169"/>
    <mergeCell ref="P2170:U2170"/>
    <mergeCell ref="P2171:U2171"/>
    <mergeCell ref="D2172:O2172"/>
    <mergeCell ref="P2172:U2172"/>
    <mergeCell ref="P2161:U2161"/>
    <mergeCell ref="P2162:U2162"/>
    <mergeCell ref="P2163:U2163"/>
    <mergeCell ref="P2164:U2164"/>
    <mergeCell ref="P2165:U2165"/>
    <mergeCell ref="P2166:U2166"/>
    <mergeCell ref="P2155:U2155"/>
    <mergeCell ref="P2156:U2156"/>
    <mergeCell ref="P2157:U2157"/>
    <mergeCell ref="P2158:U2158"/>
    <mergeCell ref="P2159:U2159"/>
    <mergeCell ref="P2160:U2160"/>
    <mergeCell ref="P2149:U2149"/>
    <mergeCell ref="P2150:U2150"/>
    <mergeCell ref="P2151:U2151"/>
    <mergeCell ref="P2152:U2152"/>
    <mergeCell ref="P2153:U2153"/>
    <mergeCell ref="P2154:U2154"/>
    <mergeCell ref="P2143:U2143"/>
    <mergeCell ref="P2144:U2144"/>
    <mergeCell ref="P2145:U2145"/>
    <mergeCell ref="P2146:U2146"/>
    <mergeCell ref="P2147:U2147"/>
    <mergeCell ref="P2148:U2148"/>
    <mergeCell ref="P2137:U2137"/>
    <mergeCell ref="P2138:U2138"/>
    <mergeCell ref="P2139:U2139"/>
    <mergeCell ref="P2140:U2140"/>
    <mergeCell ref="P2141:U2141"/>
    <mergeCell ref="P2142:U2142"/>
    <mergeCell ref="P2131:U2131"/>
    <mergeCell ref="P2132:U2132"/>
    <mergeCell ref="P2133:U2133"/>
    <mergeCell ref="P2134:U2134"/>
    <mergeCell ref="P2135:U2135"/>
    <mergeCell ref="P2136:U2136"/>
    <mergeCell ref="P2125:U2125"/>
    <mergeCell ref="P2126:U2126"/>
    <mergeCell ref="P2127:U2127"/>
    <mergeCell ref="P2128:U2128"/>
    <mergeCell ref="P2129:U2129"/>
    <mergeCell ref="P2130:U2130"/>
    <mergeCell ref="P2119:U2119"/>
    <mergeCell ref="P2120:U2120"/>
    <mergeCell ref="P2121:U2121"/>
    <mergeCell ref="P2122:U2122"/>
    <mergeCell ref="P2123:U2123"/>
    <mergeCell ref="P2124:U2124"/>
    <mergeCell ref="P2113:U2113"/>
    <mergeCell ref="P2114:U2114"/>
    <mergeCell ref="P2115:U2115"/>
    <mergeCell ref="P2116:U2116"/>
    <mergeCell ref="P2117:U2117"/>
    <mergeCell ref="P2118:U2118"/>
    <mergeCell ref="P2107:U2107"/>
    <mergeCell ref="P2108:U2108"/>
    <mergeCell ref="P2109:U2109"/>
    <mergeCell ref="P2110:U2110"/>
    <mergeCell ref="P2111:U2111"/>
    <mergeCell ref="P2112:U2112"/>
    <mergeCell ref="P2101:U2101"/>
    <mergeCell ref="P2102:U2102"/>
    <mergeCell ref="P2103:U2103"/>
    <mergeCell ref="P2104:U2104"/>
    <mergeCell ref="P2105:U2105"/>
    <mergeCell ref="P2106:U2106"/>
    <mergeCell ref="P2095:U2095"/>
    <mergeCell ref="P2096:U2096"/>
    <mergeCell ref="P2097:U2097"/>
    <mergeCell ref="P2098:U2098"/>
    <mergeCell ref="P2099:U2099"/>
    <mergeCell ref="P2100:U2100"/>
    <mergeCell ref="P2089:U2089"/>
    <mergeCell ref="P2090:U2090"/>
    <mergeCell ref="P2091:U2091"/>
    <mergeCell ref="P2092:U2092"/>
    <mergeCell ref="P2093:U2093"/>
    <mergeCell ref="P2094:U2094"/>
    <mergeCell ref="P2083:U2083"/>
    <mergeCell ref="P2084:U2084"/>
    <mergeCell ref="P2085:U2085"/>
    <mergeCell ref="P2086:U2086"/>
    <mergeCell ref="P2087:U2087"/>
    <mergeCell ref="P2088:U2088"/>
    <mergeCell ref="P2077:U2077"/>
    <mergeCell ref="P2078:U2078"/>
    <mergeCell ref="P2079:U2079"/>
    <mergeCell ref="P2080:U2080"/>
    <mergeCell ref="P2081:U2081"/>
    <mergeCell ref="P2082:U2082"/>
    <mergeCell ref="P2071:U2071"/>
    <mergeCell ref="P2072:U2072"/>
    <mergeCell ref="P2073:U2073"/>
    <mergeCell ref="P2074:U2074"/>
    <mergeCell ref="P2075:U2075"/>
    <mergeCell ref="P2076:U2076"/>
    <mergeCell ref="P2065:U2065"/>
    <mergeCell ref="P2066:U2066"/>
    <mergeCell ref="P2067:U2067"/>
    <mergeCell ref="P2068:U2068"/>
    <mergeCell ref="P2069:U2069"/>
    <mergeCell ref="P2070:U2070"/>
    <mergeCell ref="D2058:U2058"/>
    <mergeCell ref="D2059:U2059"/>
    <mergeCell ref="D2060:U2060"/>
    <mergeCell ref="D2061:U2061"/>
    <mergeCell ref="D2063:U2063"/>
    <mergeCell ref="D2064:O2064"/>
    <mergeCell ref="P2064:U2064"/>
    <mergeCell ref="P2053:U2053"/>
    <mergeCell ref="E2054:O2054"/>
    <mergeCell ref="P2054:U2054"/>
    <mergeCell ref="P2055:U2055"/>
    <mergeCell ref="D2056:O2056"/>
    <mergeCell ref="P2056:U2056"/>
    <mergeCell ref="P2047:U2047"/>
    <mergeCell ref="P2048:U2048"/>
    <mergeCell ref="P2049:U2049"/>
    <mergeCell ref="P2050:U2050"/>
    <mergeCell ref="P2051:U2051"/>
    <mergeCell ref="P2052:U2052"/>
    <mergeCell ref="P2041:U2041"/>
    <mergeCell ref="P2042:U2042"/>
    <mergeCell ref="P2043:U2043"/>
    <mergeCell ref="P2044:U2044"/>
    <mergeCell ref="P2045:U2045"/>
    <mergeCell ref="P2046:U2046"/>
    <mergeCell ref="P2033:U2033"/>
    <mergeCell ref="P2034:U2034"/>
    <mergeCell ref="P2035:U2035"/>
    <mergeCell ref="P2036:U2036"/>
    <mergeCell ref="P2039:U2039"/>
    <mergeCell ref="P2040:U2040"/>
    <mergeCell ref="E2028:O2028"/>
    <mergeCell ref="P2028:U2028"/>
    <mergeCell ref="P2029:U2029"/>
    <mergeCell ref="P2030:U2030"/>
    <mergeCell ref="P2031:U2031"/>
    <mergeCell ref="P2032:U2032"/>
    <mergeCell ref="P2024:U2024"/>
    <mergeCell ref="P2025:U2025"/>
    <mergeCell ref="E2026:O2026"/>
    <mergeCell ref="P2026:U2026"/>
    <mergeCell ref="E2027:O2027"/>
    <mergeCell ref="P2027:U2027"/>
    <mergeCell ref="D2018:U2018"/>
    <mergeCell ref="D2019:U2019"/>
    <mergeCell ref="D2020:U2020"/>
    <mergeCell ref="D2022:U2022"/>
    <mergeCell ref="D2023:O2023"/>
    <mergeCell ref="P2023:U2023"/>
    <mergeCell ref="P2012:U2012"/>
    <mergeCell ref="P2013:U2013"/>
    <mergeCell ref="P2014:U2014"/>
    <mergeCell ref="P2015:U2015"/>
    <mergeCell ref="D2016:O2016"/>
    <mergeCell ref="P2016:U2016"/>
    <mergeCell ref="P2006:U2006"/>
    <mergeCell ref="P2007:U2007"/>
    <mergeCell ref="P2008:U2008"/>
    <mergeCell ref="P2009:U2009"/>
    <mergeCell ref="P2010:U2010"/>
    <mergeCell ref="P2011:U2011"/>
    <mergeCell ref="P2001:U2001"/>
    <mergeCell ref="P2002:U2002"/>
    <mergeCell ref="P2003:U2003"/>
    <mergeCell ref="P2004:U2004"/>
    <mergeCell ref="D2005:O2005"/>
    <mergeCell ref="P2005:U2005"/>
    <mergeCell ref="P1996:U1996"/>
    <mergeCell ref="P1997:U1997"/>
    <mergeCell ref="P1998:U1998"/>
    <mergeCell ref="P1999:U1999"/>
    <mergeCell ref="E2000:O2000"/>
    <mergeCell ref="P2000:U2000"/>
    <mergeCell ref="P1990:U1990"/>
    <mergeCell ref="P1991:U1991"/>
    <mergeCell ref="P1992:U1992"/>
    <mergeCell ref="P1993:U1993"/>
    <mergeCell ref="P1994:U1994"/>
    <mergeCell ref="P1995:U1995"/>
    <mergeCell ref="E1985:O1985"/>
    <mergeCell ref="P1985:U1985"/>
    <mergeCell ref="P1986:U1986"/>
    <mergeCell ref="P1987:U1987"/>
    <mergeCell ref="P1988:U1988"/>
    <mergeCell ref="P1989:U1989"/>
    <mergeCell ref="P1979:U1979"/>
    <mergeCell ref="P1980:U1980"/>
    <mergeCell ref="P1981:U1981"/>
    <mergeCell ref="P1982:U1982"/>
    <mergeCell ref="P1983:U1983"/>
    <mergeCell ref="E1984:O1984"/>
    <mergeCell ref="P1984:U1984"/>
    <mergeCell ref="D1975:O1975"/>
    <mergeCell ref="P1975:U1975"/>
    <mergeCell ref="E1976:O1976"/>
    <mergeCell ref="P1976:U1976"/>
    <mergeCell ref="P1977:U1977"/>
    <mergeCell ref="P1978:U1978"/>
    <mergeCell ref="P1969:U1969"/>
    <mergeCell ref="P1970:U1970"/>
    <mergeCell ref="P1971:U1971"/>
    <mergeCell ref="P1972:U1972"/>
    <mergeCell ref="P1973:U1973"/>
    <mergeCell ref="P1974:U1974"/>
    <mergeCell ref="P1963:U1963"/>
    <mergeCell ref="P1964:U1964"/>
    <mergeCell ref="P1965:U1965"/>
    <mergeCell ref="P1966:U1966"/>
    <mergeCell ref="P1967:U1967"/>
    <mergeCell ref="P1968:U1968"/>
    <mergeCell ref="P1957:U1957"/>
    <mergeCell ref="P1958:U1958"/>
    <mergeCell ref="P1959:U1959"/>
    <mergeCell ref="P1960:U1960"/>
    <mergeCell ref="P1961:U1961"/>
    <mergeCell ref="P1962:U1962"/>
    <mergeCell ref="P1951:U1951"/>
    <mergeCell ref="P1952:U1952"/>
    <mergeCell ref="P1953:U1953"/>
    <mergeCell ref="P1954:U1954"/>
    <mergeCell ref="P1955:U1955"/>
    <mergeCell ref="P1956:U1956"/>
    <mergeCell ref="AC1944:AF1944"/>
    <mergeCell ref="D1946:U1946"/>
    <mergeCell ref="D1947:U1947"/>
    <mergeCell ref="D1948:U1948"/>
    <mergeCell ref="D1949:U1949"/>
    <mergeCell ref="D1950:O1950"/>
    <mergeCell ref="P1950:U1950"/>
    <mergeCell ref="J1943:O1943"/>
    <mergeCell ref="P1943:U1943"/>
    <mergeCell ref="V1943:X1943"/>
    <mergeCell ref="Y1943:AB1943"/>
    <mergeCell ref="AC1943:AF1943"/>
    <mergeCell ref="C1944:I1944"/>
    <mergeCell ref="J1944:O1944"/>
    <mergeCell ref="P1944:U1944"/>
    <mergeCell ref="V1944:X1944"/>
    <mergeCell ref="Y1944:AB1944"/>
    <mergeCell ref="J1941:O1941"/>
    <mergeCell ref="P1941:U1941"/>
    <mergeCell ref="V1941:X1941"/>
    <mergeCell ref="Y1941:AB1941"/>
    <mergeCell ref="AC1941:AF1941"/>
    <mergeCell ref="J1942:O1942"/>
    <mergeCell ref="P1942:U1942"/>
    <mergeCell ref="V1942:X1942"/>
    <mergeCell ref="Y1942:AB1942"/>
    <mergeCell ref="AC1942:AF1942"/>
    <mergeCell ref="J1939:O1939"/>
    <mergeCell ref="P1939:U1939"/>
    <mergeCell ref="V1939:X1939"/>
    <mergeCell ref="Y1939:AB1939"/>
    <mergeCell ref="AC1939:AF1939"/>
    <mergeCell ref="J1940:O1940"/>
    <mergeCell ref="P1940:U1940"/>
    <mergeCell ref="V1940:X1940"/>
    <mergeCell ref="Y1940:AB1940"/>
    <mergeCell ref="AC1940:AF1940"/>
    <mergeCell ref="J1937:O1937"/>
    <mergeCell ref="P1937:U1937"/>
    <mergeCell ref="V1937:X1937"/>
    <mergeCell ref="Y1937:AB1937"/>
    <mergeCell ref="AC1937:AF1937"/>
    <mergeCell ref="J1938:O1938"/>
    <mergeCell ref="P1938:U1938"/>
    <mergeCell ref="V1938:X1938"/>
    <mergeCell ref="Y1938:AB1938"/>
    <mergeCell ref="AC1938:AF1938"/>
    <mergeCell ref="J1935:O1935"/>
    <mergeCell ref="P1935:U1935"/>
    <mergeCell ref="V1935:X1935"/>
    <mergeCell ref="Y1935:AB1935"/>
    <mergeCell ref="AC1935:AF1935"/>
    <mergeCell ref="J1936:O1936"/>
    <mergeCell ref="P1936:U1936"/>
    <mergeCell ref="V1936:X1936"/>
    <mergeCell ref="Y1936:AB1936"/>
    <mergeCell ref="AC1936:AF1936"/>
    <mergeCell ref="J1933:O1933"/>
    <mergeCell ref="P1933:U1933"/>
    <mergeCell ref="V1933:X1933"/>
    <mergeCell ref="Y1933:AB1933"/>
    <mergeCell ref="AC1933:AF1933"/>
    <mergeCell ref="J1934:O1934"/>
    <mergeCell ref="P1934:U1934"/>
    <mergeCell ref="V1934:X1934"/>
    <mergeCell ref="Y1934:AB1934"/>
    <mergeCell ref="AC1934:AF1934"/>
    <mergeCell ref="V1931:X1931"/>
    <mergeCell ref="Y1931:AB1931"/>
    <mergeCell ref="AC1931:AF1931"/>
    <mergeCell ref="J1932:O1932"/>
    <mergeCell ref="P1932:U1932"/>
    <mergeCell ref="V1932:X1932"/>
    <mergeCell ref="Y1932:AB1932"/>
    <mergeCell ref="AC1932:AF1932"/>
    <mergeCell ref="B1926:U1926"/>
    <mergeCell ref="C1927:U1927"/>
    <mergeCell ref="C1928:U1928"/>
    <mergeCell ref="C1930:T1930"/>
    <mergeCell ref="C1931:I1931"/>
    <mergeCell ref="J1931:O1931"/>
    <mergeCell ref="P1931:U1931"/>
    <mergeCell ref="P1919:U1919"/>
    <mergeCell ref="P1920:U1920"/>
    <mergeCell ref="P1921:U1921"/>
    <mergeCell ref="P1922:U1922"/>
    <mergeCell ref="P1923:U1923"/>
    <mergeCell ref="D1924:O1924"/>
    <mergeCell ref="P1924:U1924"/>
    <mergeCell ref="P1913:U1913"/>
    <mergeCell ref="P1914:U1914"/>
    <mergeCell ref="P1915:U1915"/>
    <mergeCell ref="P1916:U1916"/>
    <mergeCell ref="P1917:U1917"/>
    <mergeCell ref="P1918:U1918"/>
    <mergeCell ref="P1907:U1907"/>
    <mergeCell ref="P1908:U1908"/>
    <mergeCell ref="P1909:U1909"/>
    <mergeCell ref="P1910:U1910"/>
    <mergeCell ref="P1911:U1911"/>
    <mergeCell ref="P1912:U1912"/>
    <mergeCell ref="A1903:H1903"/>
    <mergeCell ref="I1903:N1903"/>
    <mergeCell ref="O1903:U1903"/>
    <mergeCell ref="D1905:U1905"/>
    <mergeCell ref="E1906:O1906"/>
    <mergeCell ref="P1906:U1906"/>
    <mergeCell ref="I1900:N1900"/>
    <mergeCell ref="O1900:U1900"/>
    <mergeCell ref="I1901:N1901"/>
    <mergeCell ref="O1901:U1901"/>
    <mergeCell ref="I1902:N1902"/>
    <mergeCell ref="O1902:U1902"/>
    <mergeCell ref="D1894:O1894"/>
    <mergeCell ref="P1894:U1894"/>
    <mergeCell ref="D1896:U1896"/>
    <mergeCell ref="D1897:U1897"/>
    <mergeCell ref="A1899:H1899"/>
    <mergeCell ref="I1899:N1899"/>
    <mergeCell ref="O1899:U1899"/>
    <mergeCell ref="E1890:O1890"/>
    <mergeCell ref="P1890:U1890"/>
    <mergeCell ref="E1891:O1891"/>
    <mergeCell ref="P1891:U1891"/>
    <mergeCell ref="P1892:U1892"/>
    <mergeCell ref="P1893:U1893"/>
    <mergeCell ref="P1884:U1884"/>
    <mergeCell ref="P1885:U1885"/>
    <mergeCell ref="P1886:U1886"/>
    <mergeCell ref="P1887:U1887"/>
    <mergeCell ref="P1888:U1888"/>
    <mergeCell ref="E1889:O1889"/>
    <mergeCell ref="P1889:U1889"/>
    <mergeCell ref="P1878:U1878"/>
    <mergeCell ref="P1879:U1879"/>
    <mergeCell ref="P1880:U1880"/>
    <mergeCell ref="P1881:U1881"/>
    <mergeCell ref="P1882:U1882"/>
    <mergeCell ref="P1883:U1883"/>
    <mergeCell ref="P1872:U1872"/>
    <mergeCell ref="P1873:U1873"/>
    <mergeCell ref="P1874:U1874"/>
    <mergeCell ref="P1875:U1875"/>
    <mergeCell ref="P1876:U1876"/>
    <mergeCell ref="P1877:U1877"/>
    <mergeCell ref="P1866:U1866"/>
    <mergeCell ref="P1867:U1867"/>
    <mergeCell ref="P1868:U1868"/>
    <mergeCell ref="P1869:U1869"/>
    <mergeCell ref="P1870:U1870"/>
    <mergeCell ref="P1871:U1871"/>
    <mergeCell ref="P1860:U1860"/>
    <mergeCell ref="P1861:U1861"/>
    <mergeCell ref="P1862:U1862"/>
    <mergeCell ref="P1863:U1863"/>
    <mergeCell ref="P1864:U1864"/>
    <mergeCell ref="P1865:U1865"/>
    <mergeCell ref="P1854:U1854"/>
    <mergeCell ref="P1855:U1855"/>
    <mergeCell ref="P1856:U1856"/>
    <mergeCell ref="P1857:U1857"/>
    <mergeCell ref="P1858:U1858"/>
    <mergeCell ref="P1859:U1859"/>
    <mergeCell ref="P1849:U1849"/>
    <mergeCell ref="E1850:O1850"/>
    <mergeCell ref="P1850:U1850"/>
    <mergeCell ref="P1851:U1851"/>
    <mergeCell ref="P1852:U1852"/>
    <mergeCell ref="P1853:U1853"/>
    <mergeCell ref="D1845:U1845"/>
    <mergeCell ref="E1846:O1846"/>
    <mergeCell ref="P1846:U1846"/>
    <mergeCell ref="E1847:O1847"/>
    <mergeCell ref="P1847:U1847"/>
    <mergeCell ref="P1848:U1848"/>
    <mergeCell ref="A1844:H1844"/>
    <mergeCell ref="I1844:N1844"/>
    <mergeCell ref="O1844:U1844"/>
    <mergeCell ref="V1844:X1844"/>
    <mergeCell ref="Y1844:AB1844"/>
    <mergeCell ref="AC1844:AF1844"/>
    <mergeCell ref="A1843:H1843"/>
    <mergeCell ref="I1843:N1843"/>
    <mergeCell ref="O1843:U1843"/>
    <mergeCell ref="V1843:X1843"/>
    <mergeCell ref="Y1843:AB1843"/>
    <mergeCell ref="AC1843:AF1843"/>
    <mergeCell ref="A1842:H1842"/>
    <mergeCell ref="I1842:N1842"/>
    <mergeCell ref="O1842:U1842"/>
    <mergeCell ref="V1842:X1842"/>
    <mergeCell ref="Y1842:AB1842"/>
    <mergeCell ref="AC1842:AF1842"/>
    <mergeCell ref="A1841:H1841"/>
    <mergeCell ref="I1841:N1841"/>
    <mergeCell ref="O1841:U1841"/>
    <mergeCell ref="V1841:X1841"/>
    <mergeCell ref="Y1841:AB1841"/>
    <mergeCell ref="AC1841:AF1841"/>
    <mergeCell ref="A1840:H1840"/>
    <mergeCell ref="I1840:N1840"/>
    <mergeCell ref="O1840:U1840"/>
    <mergeCell ref="V1840:X1840"/>
    <mergeCell ref="Y1840:AB1840"/>
    <mergeCell ref="AC1840:AF1840"/>
    <mergeCell ref="E1835:M1835"/>
    <mergeCell ref="O1835:U1835"/>
    <mergeCell ref="E1836:M1836"/>
    <mergeCell ref="O1836:U1836"/>
    <mergeCell ref="D1837:U1837"/>
    <mergeCell ref="D1838:U1838"/>
    <mergeCell ref="E1832:M1832"/>
    <mergeCell ref="O1832:U1832"/>
    <mergeCell ref="E1833:M1833"/>
    <mergeCell ref="O1833:U1833"/>
    <mergeCell ref="E1834:M1834"/>
    <mergeCell ref="O1834:U1834"/>
    <mergeCell ref="P1827:U1827"/>
    <mergeCell ref="P1828:U1828"/>
    <mergeCell ref="P1829:U1829"/>
    <mergeCell ref="D1830:O1830"/>
    <mergeCell ref="P1830:U1830"/>
    <mergeCell ref="D1831:U1831"/>
    <mergeCell ref="P1821:U1821"/>
    <mergeCell ref="P1822:U1822"/>
    <mergeCell ref="P1823:U1823"/>
    <mergeCell ref="P1824:U1824"/>
    <mergeCell ref="P1825:U1825"/>
    <mergeCell ref="P1826:U1826"/>
    <mergeCell ref="F1816:O1816"/>
    <mergeCell ref="P1816:U1816"/>
    <mergeCell ref="P1817:U1817"/>
    <mergeCell ref="P1818:U1818"/>
    <mergeCell ref="P1819:U1819"/>
    <mergeCell ref="P1820:U1820"/>
    <mergeCell ref="P1810:U1810"/>
    <mergeCell ref="P1811:U1811"/>
    <mergeCell ref="P1812:U1812"/>
    <mergeCell ref="P1813:U1813"/>
    <mergeCell ref="P1814:U1814"/>
    <mergeCell ref="P1815:U1815"/>
    <mergeCell ref="P1804:U1804"/>
    <mergeCell ref="P1805:U1805"/>
    <mergeCell ref="P1806:U1806"/>
    <mergeCell ref="P1807:U1807"/>
    <mergeCell ref="P1808:U1808"/>
    <mergeCell ref="P1809:U1809"/>
    <mergeCell ref="P1799:U1799"/>
    <mergeCell ref="F1800:O1800"/>
    <mergeCell ref="P1800:U1800"/>
    <mergeCell ref="P1801:U1801"/>
    <mergeCell ref="P1802:U1802"/>
    <mergeCell ref="P1803:U1803"/>
    <mergeCell ref="F1794:O1794"/>
    <mergeCell ref="P1794:U1794"/>
    <mergeCell ref="P1795:U1795"/>
    <mergeCell ref="P1796:U1796"/>
    <mergeCell ref="P1797:U1797"/>
    <mergeCell ref="F1798:O1798"/>
    <mergeCell ref="P1798:U1798"/>
    <mergeCell ref="P1788:U1788"/>
    <mergeCell ref="P1789:U1789"/>
    <mergeCell ref="P1790:U1790"/>
    <mergeCell ref="P1791:U1791"/>
    <mergeCell ref="P1792:U1792"/>
    <mergeCell ref="P1793:U1793"/>
    <mergeCell ref="P1783:U1783"/>
    <mergeCell ref="P1784:U1784"/>
    <mergeCell ref="P1785:U1785"/>
    <mergeCell ref="E1786:O1786"/>
    <mergeCell ref="P1786:U1786"/>
    <mergeCell ref="E1787:O1787"/>
    <mergeCell ref="P1787:U1787"/>
    <mergeCell ref="P1777:U1777"/>
    <mergeCell ref="P1778:U1778"/>
    <mergeCell ref="P1779:U1779"/>
    <mergeCell ref="P1780:U1780"/>
    <mergeCell ref="P1781:U1781"/>
    <mergeCell ref="P1782:U1782"/>
    <mergeCell ref="P1771:U1771"/>
    <mergeCell ref="P1772:U1772"/>
    <mergeCell ref="P1773:U1773"/>
    <mergeCell ref="P1774:U1774"/>
    <mergeCell ref="P1775:U1775"/>
    <mergeCell ref="P1776:U1776"/>
    <mergeCell ref="P1765:U1765"/>
    <mergeCell ref="P1766:U1766"/>
    <mergeCell ref="P1767:U1767"/>
    <mergeCell ref="P1768:U1768"/>
    <mergeCell ref="P1769:U1769"/>
    <mergeCell ref="P1770:U1770"/>
    <mergeCell ref="P1760:U1760"/>
    <mergeCell ref="P1761:U1761"/>
    <mergeCell ref="P1762:U1762"/>
    <mergeCell ref="P1763:U1763"/>
    <mergeCell ref="E1764:O1764"/>
    <mergeCell ref="P1764:U1764"/>
    <mergeCell ref="P1754:U1754"/>
    <mergeCell ref="P1755:U1755"/>
    <mergeCell ref="P1756:U1756"/>
    <mergeCell ref="P1757:U1757"/>
    <mergeCell ref="P1758:U1758"/>
    <mergeCell ref="P1759:U1759"/>
    <mergeCell ref="A1750:I1750"/>
    <mergeCell ref="J1750:O1750"/>
    <mergeCell ref="P1750:U1750"/>
    <mergeCell ref="D1752:U1752"/>
    <mergeCell ref="E1753:O1753"/>
    <mergeCell ref="P1753:U1753"/>
    <mergeCell ref="A1748:I1748"/>
    <mergeCell ref="J1748:O1748"/>
    <mergeCell ref="P1748:U1748"/>
    <mergeCell ref="A1749:I1749"/>
    <mergeCell ref="J1749:O1749"/>
    <mergeCell ref="P1749:U1749"/>
    <mergeCell ref="A1746:I1746"/>
    <mergeCell ref="J1746:O1746"/>
    <mergeCell ref="P1746:U1746"/>
    <mergeCell ref="A1747:I1747"/>
    <mergeCell ref="J1747:O1747"/>
    <mergeCell ref="P1747:U1747"/>
    <mergeCell ref="C1741:U1741"/>
    <mergeCell ref="D1742:U1742"/>
    <mergeCell ref="D1743:U1743"/>
    <mergeCell ref="A1745:I1745"/>
    <mergeCell ref="J1745:O1745"/>
    <mergeCell ref="P1745:U1745"/>
    <mergeCell ref="A1738:F1738"/>
    <mergeCell ref="G1738:L1738"/>
    <mergeCell ref="M1738:R1738"/>
    <mergeCell ref="S1738:U1738"/>
    <mergeCell ref="A1739:F1739"/>
    <mergeCell ref="G1739:L1739"/>
    <mergeCell ref="M1739:R1739"/>
    <mergeCell ref="S1739:U1739"/>
    <mergeCell ref="A1736:F1736"/>
    <mergeCell ref="G1736:L1736"/>
    <mergeCell ref="M1736:R1736"/>
    <mergeCell ref="S1736:U1736"/>
    <mergeCell ref="A1737:F1737"/>
    <mergeCell ref="G1737:L1737"/>
    <mergeCell ref="M1737:R1737"/>
    <mergeCell ref="S1737:U1737"/>
    <mergeCell ref="C1729:U1729"/>
    <mergeCell ref="C1730:U1730"/>
    <mergeCell ref="C1731:U1731"/>
    <mergeCell ref="C1732:U1732"/>
    <mergeCell ref="C1734:U1734"/>
    <mergeCell ref="A1735:F1735"/>
    <mergeCell ref="G1735:L1735"/>
    <mergeCell ref="M1735:R1735"/>
    <mergeCell ref="S1735:U1735"/>
    <mergeCell ref="Y1720:AB1720"/>
    <mergeCell ref="AC1720:AF1720"/>
    <mergeCell ref="C1724:U1724"/>
    <mergeCell ref="C1725:U1725"/>
    <mergeCell ref="C1726:U1726"/>
    <mergeCell ref="C1728:U1728"/>
    <mergeCell ref="V1719:X1719"/>
    <mergeCell ref="Y1719:AB1719"/>
    <mergeCell ref="AC1719:AF1719"/>
    <mergeCell ref="B1720:E1720"/>
    <mergeCell ref="F1720:H1720"/>
    <mergeCell ref="I1720:K1720"/>
    <mergeCell ref="L1720:N1720"/>
    <mergeCell ref="O1720:Q1720"/>
    <mergeCell ref="R1720:U1720"/>
    <mergeCell ref="V1720:X1720"/>
    <mergeCell ref="B1719:E1719"/>
    <mergeCell ref="F1719:H1719"/>
    <mergeCell ref="I1719:K1719"/>
    <mergeCell ref="L1719:N1719"/>
    <mergeCell ref="O1719:Q1719"/>
    <mergeCell ref="R1719:U1719"/>
    <mergeCell ref="AC1717:AF1717"/>
    <mergeCell ref="B1718:E1718"/>
    <mergeCell ref="F1718:H1718"/>
    <mergeCell ref="I1718:K1718"/>
    <mergeCell ref="L1718:N1718"/>
    <mergeCell ref="O1718:Q1718"/>
    <mergeCell ref="R1718:U1718"/>
    <mergeCell ref="V1718:X1718"/>
    <mergeCell ref="Y1718:AB1718"/>
    <mergeCell ref="AC1718:AF1718"/>
    <mergeCell ref="Y1716:AB1716"/>
    <mergeCell ref="AC1716:AF1716"/>
    <mergeCell ref="B1717:E1717"/>
    <mergeCell ref="F1717:H1717"/>
    <mergeCell ref="I1717:K1717"/>
    <mergeCell ref="L1717:N1717"/>
    <mergeCell ref="O1717:Q1717"/>
    <mergeCell ref="R1717:U1717"/>
    <mergeCell ref="V1717:X1717"/>
    <mergeCell ref="Y1717:AB1717"/>
    <mergeCell ref="V1715:X1715"/>
    <mergeCell ref="Y1715:AB1715"/>
    <mergeCell ref="AC1715:AF1715"/>
    <mergeCell ref="B1716:E1716"/>
    <mergeCell ref="F1716:H1716"/>
    <mergeCell ref="I1716:K1716"/>
    <mergeCell ref="L1716:N1716"/>
    <mergeCell ref="O1716:Q1716"/>
    <mergeCell ref="R1716:U1716"/>
    <mergeCell ref="V1716:X1716"/>
    <mergeCell ref="B1715:E1715"/>
    <mergeCell ref="F1715:H1715"/>
    <mergeCell ref="I1715:K1715"/>
    <mergeCell ref="L1715:N1715"/>
    <mergeCell ref="O1715:Q1715"/>
    <mergeCell ref="R1715:U1715"/>
    <mergeCell ref="L1714:N1714"/>
    <mergeCell ref="O1714:Q1714"/>
    <mergeCell ref="R1714:U1714"/>
    <mergeCell ref="V1714:X1714"/>
    <mergeCell ref="Y1714:AB1714"/>
    <mergeCell ref="AC1714:AF1714"/>
    <mergeCell ref="C1710:U1710"/>
    <mergeCell ref="C1711:U1711"/>
    <mergeCell ref="A1713:A1714"/>
    <mergeCell ref="B1713:E1713"/>
    <mergeCell ref="F1713:K1713"/>
    <mergeCell ref="L1713:Q1713"/>
    <mergeCell ref="R1713:U1713"/>
    <mergeCell ref="B1714:E1714"/>
    <mergeCell ref="F1714:H1714"/>
    <mergeCell ref="I1714:K1714"/>
    <mergeCell ref="AC1707:AF1707"/>
    <mergeCell ref="B1708:E1708"/>
    <mergeCell ref="F1708:H1708"/>
    <mergeCell ref="I1708:K1708"/>
    <mergeCell ref="L1708:N1708"/>
    <mergeCell ref="O1708:Q1708"/>
    <mergeCell ref="R1708:U1708"/>
    <mergeCell ref="V1708:X1708"/>
    <mergeCell ref="Y1708:AB1708"/>
    <mergeCell ref="AC1708:AF1708"/>
    <mergeCell ref="Y1706:AB1706"/>
    <mergeCell ref="AC1706:AF1706"/>
    <mergeCell ref="B1707:E1707"/>
    <mergeCell ref="F1707:H1707"/>
    <mergeCell ref="I1707:K1707"/>
    <mergeCell ref="L1707:N1707"/>
    <mergeCell ref="O1707:Q1707"/>
    <mergeCell ref="R1707:U1707"/>
    <mergeCell ref="V1707:X1707"/>
    <mergeCell ref="Y1707:AB1707"/>
    <mergeCell ref="V1705:X1705"/>
    <mergeCell ref="Y1705:AB1705"/>
    <mergeCell ref="AC1705:AF1705"/>
    <mergeCell ref="B1706:E1706"/>
    <mergeCell ref="F1706:H1706"/>
    <mergeCell ref="I1706:K1706"/>
    <mergeCell ref="L1706:N1706"/>
    <mergeCell ref="O1706:Q1706"/>
    <mergeCell ref="R1706:U1706"/>
    <mergeCell ref="V1706:X1706"/>
    <mergeCell ref="B1705:E1705"/>
    <mergeCell ref="F1705:H1705"/>
    <mergeCell ref="I1705:K1705"/>
    <mergeCell ref="L1705:N1705"/>
    <mergeCell ref="O1705:Q1705"/>
    <mergeCell ref="R1705:U1705"/>
    <mergeCell ref="AC1703:AF1703"/>
    <mergeCell ref="B1704:E1704"/>
    <mergeCell ref="F1704:H1704"/>
    <mergeCell ref="I1704:K1704"/>
    <mergeCell ref="L1704:N1704"/>
    <mergeCell ref="O1704:Q1704"/>
    <mergeCell ref="R1704:U1704"/>
    <mergeCell ref="V1704:X1704"/>
    <mergeCell ref="Y1704:AB1704"/>
    <mergeCell ref="AC1704:AF1704"/>
    <mergeCell ref="Y1702:AB1702"/>
    <mergeCell ref="AC1702:AF1702"/>
    <mergeCell ref="B1703:E1703"/>
    <mergeCell ref="F1703:H1703"/>
    <mergeCell ref="I1703:K1703"/>
    <mergeCell ref="L1703:N1703"/>
    <mergeCell ref="O1703:Q1703"/>
    <mergeCell ref="R1703:U1703"/>
    <mergeCell ref="V1703:X1703"/>
    <mergeCell ref="Y1703:AB1703"/>
    <mergeCell ref="V1701:X1701"/>
    <mergeCell ref="Y1701:AB1701"/>
    <mergeCell ref="AC1701:AF1701"/>
    <mergeCell ref="B1702:E1702"/>
    <mergeCell ref="F1702:H1702"/>
    <mergeCell ref="I1702:K1702"/>
    <mergeCell ref="L1702:N1702"/>
    <mergeCell ref="O1702:Q1702"/>
    <mergeCell ref="R1702:U1702"/>
    <mergeCell ref="V1702:X1702"/>
    <mergeCell ref="B1701:E1701"/>
    <mergeCell ref="F1701:H1701"/>
    <mergeCell ref="I1701:K1701"/>
    <mergeCell ref="L1701:N1701"/>
    <mergeCell ref="O1701:Q1701"/>
    <mergeCell ref="R1701:U1701"/>
    <mergeCell ref="V1696:X1696"/>
    <mergeCell ref="Y1696:AB1696"/>
    <mergeCell ref="AC1696:AF1696"/>
    <mergeCell ref="C1697:U1697"/>
    <mergeCell ref="C1698:U1698"/>
    <mergeCell ref="A1700:A1701"/>
    <mergeCell ref="B1700:E1700"/>
    <mergeCell ref="F1700:K1700"/>
    <mergeCell ref="L1700:Q1700"/>
    <mergeCell ref="R1700:U1700"/>
    <mergeCell ref="AC1694:AF1694"/>
    <mergeCell ref="B1695:E1695"/>
    <mergeCell ref="F1695:H1695"/>
    <mergeCell ref="I1695:K1695"/>
    <mergeCell ref="L1695:N1695"/>
    <mergeCell ref="O1695:Q1695"/>
    <mergeCell ref="R1695:U1695"/>
    <mergeCell ref="V1695:X1695"/>
    <mergeCell ref="Y1695:AB1695"/>
    <mergeCell ref="AC1695:AF1695"/>
    <mergeCell ref="Y1693:AB1693"/>
    <mergeCell ref="AC1693:AF1693"/>
    <mergeCell ref="B1694:E1694"/>
    <mergeCell ref="F1694:H1694"/>
    <mergeCell ref="I1694:K1694"/>
    <mergeCell ref="L1694:N1694"/>
    <mergeCell ref="O1694:Q1694"/>
    <mergeCell ref="R1694:U1694"/>
    <mergeCell ref="V1694:X1694"/>
    <mergeCell ref="Y1694:AB1694"/>
    <mergeCell ref="V1692:X1692"/>
    <mergeCell ref="Y1692:AB1692"/>
    <mergeCell ref="AC1692:AF1692"/>
    <mergeCell ref="B1693:E1693"/>
    <mergeCell ref="F1693:H1693"/>
    <mergeCell ref="I1693:K1693"/>
    <mergeCell ref="L1693:N1693"/>
    <mergeCell ref="O1693:Q1693"/>
    <mergeCell ref="R1693:U1693"/>
    <mergeCell ref="V1693:X1693"/>
    <mergeCell ref="B1692:E1692"/>
    <mergeCell ref="F1692:H1692"/>
    <mergeCell ref="I1692:K1692"/>
    <mergeCell ref="L1692:N1692"/>
    <mergeCell ref="O1692:Q1692"/>
    <mergeCell ref="R1692:U1692"/>
    <mergeCell ref="AC1690:AF1690"/>
    <mergeCell ref="B1691:E1691"/>
    <mergeCell ref="F1691:H1691"/>
    <mergeCell ref="I1691:K1691"/>
    <mergeCell ref="L1691:N1691"/>
    <mergeCell ref="O1691:Q1691"/>
    <mergeCell ref="R1691:U1691"/>
    <mergeCell ref="V1691:X1691"/>
    <mergeCell ref="Y1691:AB1691"/>
    <mergeCell ref="AC1691:AF1691"/>
    <mergeCell ref="I1690:K1690"/>
    <mergeCell ref="L1690:N1690"/>
    <mergeCell ref="O1690:Q1690"/>
    <mergeCell ref="R1690:U1690"/>
    <mergeCell ref="V1690:X1690"/>
    <mergeCell ref="Y1690:AB1690"/>
    <mergeCell ref="C1685:U1685"/>
    <mergeCell ref="C1686:U1686"/>
    <mergeCell ref="C1687:U1687"/>
    <mergeCell ref="A1689:A1690"/>
    <mergeCell ref="B1689:E1689"/>
    <mergeCell ref="F1689:K1689"/>
    <mergeCell ref="L1689:Q1689"/>
    <mergeCell ref="R1689:U1689"/>
    <mergeCell ref="B1690:E1690"/>
    <mergeCell ref="F1690:H1690"/>
    <mergeCell ref="V1683:X1683"/>
    <mergeCell ref="Y1683:AB1683"/>
    <mergeCell ref="AC1683:AF1683"/>
    <mergeCell ref="V1684:X1684"/>
    <mergeCell ref="Y1684:AB1684"/>
    <mergeCell ref="AC1684:AF1684"/>
    <mergeCell ref="B1683:E1683"/>
    <mergeCell ref="F1683:H1683"/>
    <mergeCell ref="I1683:K1683"/>
    <mergeCell ref="L1683:N1683"/>
    <mergeCell ref="O1683:Q1683"/>
    <mergeCell ref="R1683:U1683"/>
    <mergeCell ref="AC1681:AF1681"/>
    <mergeCell ref="B1682:E1682"/>
    <mergeCell ref="F1682:H1682"/>
    <mergeCell ref="I1682:K1682"/>
    <mergeCell ref="L1682:N1682"/>
    <mergeCell ref="O1682:Q1682"/>
    <mergeCell ref="R1682:U1682"/>
    <mergeCell ref="V1682:X1682"/>
    <mergeCell ref="Y1682:AB1682"/>
    <mergeCell ref="AC1682:AF1682"/>
    <mergeCell ref="Y1680:AB1680"/>
    <mergeCell ref="AC1680:AF1680"/>
    <mergeCell ref="B1681:E1681"/>
    <mergeCell ref="F1681:H1681"/>
    <mergeCell ref="I1681:K1681"/>
    <mergeCell ref="L1681:N1681"/>
    <mergeCell ref="O1681:Q1681"/>
    <mergeCell ref="R1681:U1681"/>
    <mergeCell ref="V1681:X1681"/>
    <mergeCell ref="Y1681:AB1681"/>
    <mergeCell ref="V1679:X1679"/>
    <mergeCell ref="Y1679:AB1679"/>
    <mergeCell ref="AC1679:AF1679"/>
    <mergeCell ref="B1680:E1680"/>
    <mergeCell ref="F1680:H1680"/>
    <mergeCell ref="I1680:K1680"/>
    <mergeCell ref="L1680:N1680"/>
    <mergeCell ref="O1680:Q1680"/>
    <mergeCell ref="R1680:U1680"/>
    <mergeCell ref="V1680:X1680"/>
    <mergeCell ref="B1679:E1679"/>
    <mergeCell ref="F1679:H1679"/>
    <mergeCell ref="I1679:K1679"/>
    <mergeCell ref="L1679:N1679"/>
    <mergeCell ref="O1679:Q1679"/>
    <mergeCell ref="R1679:U1679"/>
    <mergeCell ref="AC1677:AF1677"/>
    <mergeCell ref="B1678:E1678"/>
    <mergeCell ref="F1678:H1678"/>
    <mergeCell ref="I1678:K1678"/>
    <mergeCell ref="L1678:N1678"/>
    <mergeCell ref="O1678:Q1678"/>
    <mergeCell ref="R1678:U1678"/>
    <mergeCell ref="V1678:X1678"/>
    <mergeCell ref="Y1678:AB1678"/>
    <mergeCell ref="AC1678:AF1678"/>
    <mergeCell ref="I1677:K1677"/>
    <mergeCell ref="L1677:N1677"/>
    <mergeCell ref="O1677:Q1677"/>
    <mergeCell ref="R1677:U1677"/>
    <mergeCell ref="V1677:X1677"/>
    <mergeCell ref="Y1677:AB1677"/>
    <mergeCell ref="C1672:U1672"/>
    <mergeCell ref="C1673:U1673"/>
    <mergeCell ref="C1674:U1674"/>
    <mergeCell ref="A1676:A1677"/>
    <mergeCell ref="B1676:E1676"/>
    <mergeCell ref="F1676:K1676"/>
    <mergeCell ref="L1676:Q1676"/>
    <mergeCell ref="R1676:U1676"/>
    <mergeCell ref="B1677:E1677"/>
    <mergeCell ref="F1677:H1677"/>
    <mergeCell ref="AC1669:AF1669"/>
    <mergeCell ref="B1670:E1670"/>
    <mergeCell ref="F1670:H1670"/>
    <mergeCell ref="I1670:K1670"/>
    <mergeCell ref="L1670:N1670"/>
    <mergeCell ref="O1670:Q1670"/>
    <mergeCell ref="R1670:U1670"/>
    <mergeCell ref="V1670:X1670"/>
    <mergeCell ref="Y1670:AB1670"/>
    <mergeCell ref="AC1670:AF1670"/>
    <mergeCell ref="Y1668:AB1668"/>
    <mergeCell ref="AC1668:AF1668"/>
    <mergeCell ref="B1669:E1669"/>
    <mergeCell ref="F1669:H1669"/>
    <mergeCell ref="I1669:K1669"/>
    <mergeCell ref="L1669:N1669"/>
    <mergeCell ref="O1669:Q1669"/>
    <mergeCell ref="R1669:U1669"/>
    <mergeCell ref="V1669:X1669"/>
    <mergeCell ref="Y1669:AB1669"/>
    <mergeCell ref="V1667:X1667"/>
    <mergeCell ref="Y1667:AB1667"/>
    <mergeCell ref="AC1667:AF1667"/>
    <mergeCell ref="B1668:E1668"/>
    <mergeCell ref="F1668:H1668"/>
    <mergeCell ref="I1668:K1668"/>
    <mergeCell ref="L1668:N1668"/>
    <mergeCell ref="O1668:Q1668"/>
    <mergeCell ref="R1668:U1668"/>
    <mergeCell ref="V1668:X1668"/>
    <mergeCell ref="B1667:E1667"/>
    <mergeCell ref="F1667:H1667"/>
    <mergeCell ref="I1667:K1667"/>
    <mergeCell ref="L1667:N1667"/>
    <mergeCell ref="O1667:Q1667"/>
    <mergeCell ref="R1667:U1667"/>
    <mergeCell ref="AC1665:AF1665"/>
    <mergeCell ref="B1666:E1666"/>
    <mergeCell ref="F1666:H1666"/>
    <mergeCell ref="I1666:K1666"/>
    <mergeCell ref="L1666:N1666"/>
    <mergeCell ref="O1666:Q1666"/>
    <mergeCell ref="R1666:U1666"/>
    <mergeCell ref="V1666:X1666"/>
    <mergeCell ref="Y1666:AB1666"/>
    <mergeCell ref="AC1666:AF1666"/>
    <mergeCell ref="Y1664:AB1664"/>
    <mergeCell ref="AC1664:AF1664"/>
    <mergeCell ref="B1665:E1665"/>
    <mergeCell ref="F1665:H1665"/>
    <mergeCell ref="I1665:K1665"/>
    <mergeCell ref="L1665:N1665"/>
    <mergeCell ref="O1665:Q1665"/>
    <mergeCell ref="R1665:U1665"/>
    <mergeCell ref="V1665:X1665"/>
    <mergeCell ref="Y1665:AB1665"/>
    <mergeCell ref="V1663:X1663"/>
    <mergeCell ref="Y1663:AB1663"/>
    <mergeCell ref="AC1663:AF1663"/>
    <mergeCell ref="B1664:E1664"/>
    <mergeCell ref="F1664:H1664"/>
    <mergeCell ref="I1664:K1664"/>
    <mergeCell ref="L1664:N1664"/>
    <mergeCell ref="O1664:Q1664"/>
    <mergeCell ref="R1664:U1664"/>
    <mergeCell ref="V1664:X1664"/>
    <mergeCell ref="B1663:E1663"/>
    <mergeCell ref="F1663:H1663"/>
    <mergeCell ref="I1663:K1663"/>
    <mergeCell ref="L1663:N1663"/>
    <mergeCell ref="O1663:Q1663"/>
    <mergeCell ref="R1663:U1663"/>
    <mergeCell ref="C1655:U1655"/>
    <mergeCell ref="C1657:U1657"/>
    <mergeCell ref="C1658:U1658"/>
    <mergeCell ref="C1659:U1659"/>
    <mergeCell ref="C1660:U1660"/>
    <mergeCell ref="A1662:A1663"/>
    <mergeCell ref="B1662:E1662"/>
    <mergeCell ref="F1662:K1662"/>
    <mergeCell ref="L1662:Q1662"/>
    <mergeCell ref="R1662:U1662"/>
    <mergeCell ref="AC1652:AF1652"/>
    <mergeCell ref="B1653:E1653"/>
    <mergeCell ref="F1653:H1653"/>
    <mergeCell ref="I1653:K1653"/>
    <mergeCell ref="L1653:N1653"/>
    <mergeCell ref="O1653:Q1653"/>
    <mergeCell ref="R1653:U1653"/>
    <mergeCell ref="V1653:X1653"/>
    <mergeCell ref="Y1653:AB1653"/>
    <mergeCell ref="AC1653:AF1653"/>
    <mergeCell ref="Y1651:AB1651"/>
    <mergeCell ref="AC1651:AF1651"/>
    <mergeCell ref="B1652:E1652"/>
    <mergeCell ref="F1652:H1652"/>
    <mergeCell ref="I1652:K1652"/>
    <mergeCell ref="L1652:N1652"/>
    <mergeCell ref="O1652:Q1652"/>
    <mergeCell ref="R1652:U1652"/>
    <mergeCell ref="V1652:X1652"/>
    <mergeCell ref="Y1652:AB1652"/>
    <mergeCell ref="V1650:X1650"/>
    <mergeCell ref="Y1650:AB1650"/>
    <mergeCell ref="AC1650:AF1650"/>
    <mergeCell ref="B1651:E1651"/>
    <mergeCell ref="F1651:H1651"/>
    <mergeCell ref="I1651:K1651"/>
    <mergeCell ref="L1651:N1651"/>
    <mergeCell ref="O1651:Q1651"/>
    <mergeCell ref="R1651:U1651"/>
    <mergeCell ref="V1651:X1651"/>
    <mergeCell ref="B1650:E1650"/>
    <mergeCell ref="F1650:H1650"/>
    <mergeCell ref="I1650:K1650"/>
    <mergeCell ref="L1650:N1650"/>
    <mergeCell ref="O1650:Q1650"/>
    <mergeCell ref="R1650:U1650"/>
    <mergeCell ref="AC1648:AF1648"/>
    <mergeCell ref="B1649:E1649"/>
    <mergeCell ref="F1649:H1649"/>
    <mergeCell ref="I1649:K1649"/>
    <mergeCell ref="L1649:N1649"/>
    <mergeCell ref="O1649:Q1649"/>
    <mergeCell ref="R1649:U1649"/>
    <mergeCell ref="V1649:X1649"/>
    <mergeCell ref="Y1649:AB1649"/>
    <mergeCell ref="AC1649:AF1649"/>
    <mergeCell ref="Y1647:AB1647"/>
    <mergeCell ref="AC1647:AF1647"/>
    <mergeCell ref="B1648:E1648"/>
    <mergeCell ref="F1648:H1648"/>
    <mergeCell ref="I1648:K1648"/>
    <mergeCell ref="L1648:N1648"/>
    <mergeCell ref="O1648:Q1648"/>
    <mergeCell ref="R1648:U1648"/>
    <mergeCell ref="V1648:X1648"/>
    <mergeCell ref="Y1648:AB1648"/>
    <mergeCell ref="V1646:X1646"/>
    <mergeCell ref="Y1646:AB1646"/>
    <mergeCell ref="AC1646:AF1646"/>
    <mergeCell ref="B1647:E1647"/>
    <mergeCell ref="F1647:H1647"/>
    <mergeCell ref="I1647:K1647"/>
    <mergeCell ref="L1647:N1647"/>
    <mergeCell ref="O1647:Q1647"/>
    <mergeCell ref="R1647:U1647"/>
    <mergeCell ref="V1647:X1647"/>
    <mergeCell ref="B1646:E1646"/>
    <mergeCell ref="F1646:H1646"/>
    <mergeCell ref="I1646:K1646"/>
    <mergeCell ref="L1646:N1646"/>
    <mergeCell ref="O1646:Q1646"/>
    <mergeCell ref="R1646:U1646"/>
    <mergeCell ref="AC1644:AF1644"/>
    <mergeCell ref="B1645:E1645"/>
    <mergeCell ref="F1645:H1645"/>
    <mergeCell ref="I1645:K1645"/>
    <mergeCell ref="L1645:N1645"/>
    <mergeCell ref="O1645:Q1645"/>
    <mergeCell ref="R1645:U1645"/>
    <mergeCell ref="V1645:X1645"/>
    <mergeCell ref="Y1645:AB1645"/>
    <mergeCell ref="AC1645:AF1645"/>
    <mergeCell ref="I1644:K1644"/>
    <mergeCell ref="L1644:N1644"/>
    <mergeCell ref="O1644:Q1644"/>
    <mergeCell ref="R1644:U1644"/>
    <mergeCell ref="V1644:X1644"/>
    <mergeCell ref="Y1644:AB1644"/>
    <mergeCell ref="C1639:U1639"/>
    <mergeCell ref="C1640:U1640"/>
    <mergeCell ref="C1641:U1641"/>
    <mergeCell ref="A1643:A1644"/>
    <mergeCell ref="B1643:E1643"/>
    <mergeCell ref="F1643:K1643"/>
    <mergeCell ref="L1643:Q1643"/>
    <mergeCell ref="R1643:U1643"/>
    <mergeCell ref="B1644:E1644"/>
    <mergeCell ref="F1644:H1644"/>
    <mergeCell ref="C1635:M1635"/>
    <mergeCell ref="N1635:U1635"/>
    <mergeCell ref="C1636:M1636"/>
    <mergeCell ref="N1636:U1636"/>
    <mergeCell ref="B1637:M1637"/>
    <mergeCell ref="N1637:U1637"/>
    <mergeCell ref="C1632:M1632"/>
    <mergeCell ref="N1632:U1632"/>
    <mergeCell ref="C1633:M1633"/>
    <mergeCell ref="N1633:U1633"/>
    <mergeCell ref="C1634:M1634"/>
    <mergeCell ref="N1634:U1634"/>
    <mergeCell ref="C1627:U1627"/>
    <mergeCell ref="C1628:U1628"/>
    <mergeCell ref="C1630:M1630"/>
    <mergeCell ref="N1630:U1630"/>
    <mergeCell ref="C1631:M1631"/>
    <mergeCell ref="N1631:U1631"/>
    <mergeCell ref="B1621:M1621"/>
    <mergeCell ref="N1621:U1621"/>
    <mergeCell ref="B1622:U1622"/>
    <mergeCell ref="V1622:AE1622"/>
    <mergeCell ref="C1624:U1624"/>
    <mergeCell ref="C1625:U1625"/>
    <mergeCell ref="AC1619:AF1619"/>
    <mergeCell ref="B1620:E1620"/>
    <mergeCell ref="F1620:H1620"/>
    <mergeCell ref="I1620:K1620"/>
    <mergeCell ref="L1620:N1620"/>
    <mergeCell ref="O1620:Q1620"/>
    <mergeCell ref="R1620:U1620"/>
    <mergeCell ref="V1620:X1620"/>
    <mergeCell ref="Y1620:AB1620"/>
    <mergeCell ref="AC1620:AF1620"/>
    <mergeCell ref="I1619:K1619"/>
    <mergeCell ref="L1619:N1619"/>
    <mergeCell ref="O1619:Q1619"/>
    <mergeCell ref="R1619:U1619"/>
    <mergeCell ref="V1619:X1619"/>
    <mergeCell ref="Y1619:AB1619"/>
    <mergeCell ref="B1614:U1614"/>
    <mergeCell ref="B1615:U1615"/>
    <mergeCell ref="B1616:U1616"/>
    <mergeCell ref="A1618:A1619"/>
    <mergeCell ref="B1618:E1618"/>
    <mergeCell ref="F1618:K1618"/>
    <mergeCell ref="L1618:Q1618"/>
    <mergeCell ref="R1618:U1618"/>
    <mergeCell ref="B1619:E1619"/>
    <mergeCell ref="F1619:H1619"/>
    <mergeCell ref="B1610:M1610"/>
    <mergeCell ref="N1610:U1610"/>
    <mergeCell ref="B1611:M1611"/>
    <mergeCell ref="N1611:U1611"/>
    <mergeCell ref="B1612:M1612"/>
    <mergeCell ref="N1612:U1612"/>
    <mergeCell ref="B1607:M1607"/>
    <mergeCell ref="N1607:U1607"/>
    <mergeCell ref="B1608:M1608"/>
    <mergeCell ref="N1608:U1608"/>
    <mergeCell ref="B1609:M1609"/>
    <mergeCell ref="N1609:U1609"/>
    <mergeCell ref="C1602:U1602"/>
    <mergeCell ref="C1603:U1603"/>
    <mergeCell ref="B1604:U1604"/>
    <mergeCell ref="B1605:M1605"/>
    <mergeCell ref="N1605:U1605"/>
    <mergeCell ref="B1606:M1606"/>
    <mergeCell ref="N1606:U1606"/>
    <mergeCell ref="V1598:X1598"/>
    <mergeCell ref="Y1598:AB1598"/>
    <mergeCell ref="AC1598:AF1598"/>
    <mergeCell ref="C1599:U1599"/>
    <mergeCell ref="C1600:U1600"/>
    <mergeCell ref="C1601:U1601"/>
    <mergeCell ref="B1598:E1598"/>
    <mergeCell ref="F1598:H1598"/>
    <mergeCell ref="I1598:K1598"/>
    <mergeCell ref="L1598:N1598"/>
    <mergeCell ref="O1598:Q1598"/>
    <mergeCell ref="R1598:U1598"/>
    <mergeCell ref="L1597:N1597"/>
    <mergeCell ref="O1597:Q1597"/>
    <mergeCell ref="R1597:U1597"/>
    <mergeCell ref="V1597:X1597"/>
    <mergeCell ref="Y1597:AB1597"/>
    <mergeCell ref="AC1597:AF1597"/>
    <mergeCell ref="C1593:U1593"/>
    <mergeCell ref="C1594:U1594"/>
    <mergeCell ref="A1596:A1597"/>
    <mergeCell ref="B1596:E1596"/>
    <mergeCell ref="F1596:K1596"/>
    <mergeCell ref="L1596:Q1596"/>
    <mergeCell ref="R1596:U1596"/>
    <mergeCell ref="B1597:E1597"/>
    <mergeCell ref="F1597:H1597"/>
    <mergeCell ref="I1597:K1597"/>
    <mergeCell ref="C1586:U1586"/>
    <mergeCell ref="C1587:U1587"/>
    <mergeCell ref="C1588:U1588"/>
    <mergeCell ref="C1589:U1589"/>
    <mergeCell ref="C1590:U1590"/>
    <mergeCell ref="C1591:U1591"/>
    <mergeCell ref="R1583:U1583"/>
    <mergeCell ref="V1583:X1583"/>
    <mergeCell ref="Y1583:AB1583"/>
    <mergeCell ref="AC1583:AF1583"/>
    <mergeCell ref="C1584:U1584"/>
    <mergeCell ref="C1585:U1585"/>
    <mergeCell ref="O1582:Q1582"/>
    <mergeCell ref="R1582:U1582"/>
    <mergeCell ref="V1582:X1582"/>
    <mergeCell ref="Y1582:AB1582"/>
    <mergeCell ref="AC1582:AF1582"/>
    <mergeCell ref="B1583:E1583"/>
    <mergeCell ref="F1583:H1583"/>
    <mergeCell ref="I1583:K1583"/>
    <mergeCell ref="L1583:N1583"/>
    <mergeCell ref="O1583:Q1583"/>
    <mergeCell ref="C1580:U1580"/>
    <mergeCell ref="A1581:A1582"/>
    <mergeCell ref="B1581:E1581"/>
    <mergeCell ref="F1581:K1581"/>
    <mergeCell ref="L1581:Q1581"/>
    <mergeCell ref="R1581:U1581"/>
    <mergeCell ref="B1582:E1582"/>
    <mergeCell ref="F1582:H1582"/>
    <mergeCell ref="I1582:K1582"/>
    <mergeCell ref="L1582:N1582"/>
    <mergeCell ref="C1576:K1576"/>
    <mergeCell ref="L1576:N1576"/>
    <mergeCell ref="O1576:Q1576"/>
    <mergeCell ref="C1577:U1577"/>
    <mergeCell ref="C1578:U1578"/>
    <mergeCell ref="C1579:U1579"/>
    <mergeCell ref="C1574:K1574"/>
    <mergeCell ref="L1574:N1574"/>
    <mergeCell ref="O1574:Q1574"/>
    <mergeCell ref="C1575:K1575"/>
    <mergeCell ref="L1575:N1575"/>
    <mergeCell ref="O1575:Q1575"/>
    <mergeCell ref="V1571:X1571"/>
    <mergeCell ref="Y1571:AB1571"/>
    <mergeCell ref="AC1571:AF1571"/>
    <mergeCell ref="C1572:U1572"/>
    <mergeCell ref="C1573:K1573"/>
    <mergeCell ref="L1573:N1573"/>
    <mergeCell ref="O1573:Q1573"/>
    <mergeCell ref="R1570:U1570"/>
    <mergeCell ref="V1570:X1570"/>
    <mergeCell ref="Y1570:AB1570"/>
    <mergeCell ref="AC1570:AF1570"/>
    <mergeCell ref="B1571:E1571"/>
    <mergeCell ref="F1571:H1571"/>
    <mergeCell ref="I1571:K1571"/>
    <mergeCell ref="L1571:N1571"/>
    <mergeCell ref="O1571:Q1571"/>
    <mergeCell ref="R1571:U1571"/>
    <mergeCell ref="A1569:A1570"/>
    <mergeCell ref="B1569:E1569"/>
    <mergeCell ref="F1569:K1569"/>
    <mergeCell ref="L1569:Q1569"/>
    <mergeCell ref="R1569:U1569"/>
    <mergeCell ref="B1570:E1570"/>
    <mergeCell ref="F1570:H1570"/>
    <mergeCell ref="I1570:K1570"/>
    <mergeCell ref="L1570:N1570"/>
    <mergeCell ref="O1570:Q1570"/>
    <mergeCell ref="B1562:U1562"/>
    <mergeCell ref="B1563:U1563"/>
    <mergeCell ref="B1564:U1564"/>
    <mergeCell ref="B1565:U1565"/>
    <mergeCell ref="A1566:A1567"/>
    <mergeCell ref="C1566:U1566"/>
    <mergeCell ref="C1567:U1567"/>
    <mergeCell ref="I1560:K1560"/>
    <mergeCell ref="L1560:N1560"/>
    <mergeCell ref="O1560:Q1560"/>
    <mergeCell ref="R1560:U1560"/>
    <mergeCell ref="B1561:E1561"/>
    <mergeCell ref="F1561:H1561"/>
    <mergeCell ref="I1561:K1561"/>
    <mergeCell ref="L1561:N1561"/>
    <mergeCell ref="O1561:Q1561"/>
    <mergeCell ref="R1561:U1561"/>
    <mergeCell ref="C1554:U1554"/>
    <mergeCell ref="C1556:U1556"/>
    <mergeCell ref="C1557:U1557"/>
    <mergeCell ref="A1559:A1560"/>
    <mergeCell ref="B1559:E1559"/>
    <mergeCell ref="F1559:K1559"/>
    <mergeCell ref="L1559:Q1559"/>
    <mergeCell ref="R1559:U1559"/>
    <mergeCell ref="B1560:E1560"/>
    <mergeCell ref="F1560:H1560"/>
    <mergeCell ref="B1548:I1548"/>
    <mergeCell ref="J1548:M1548"/>
    <mergeCell ref="N1548:Q1548"/>
    <mergeCell ref="R1548:U1548"/>
    <mergeCell ref="B1550:U1550"/>
    <mergeCell ref="C1552:U1552"/>
    <mergeCell ref="C1546:I1546"/>
    <mergeCell ref="J1546:M1546"/>
    <mergeCell ref="N1546:Q1546"/>
    <mergeCell ref="R1546:U1546"/>
    <mergeCell ref="C1547:I1547"/>
    <mergeCell ref="J1547:M1547"/>
    <mergeCell ref="N1547:Q1547"/>
    <mergeCell ref="R1547:U1547"/>
    <mergeCell ref="C1544:I1544"/>
    <mergeCell ref="J1544:M1544"/>
    <mergeCell ref="N1544:Q1544"/>
    <mergeCell ref="R1544:U1544"/>
    <mergeCell ref="C1545:I1545"/>
    <mergeCell ref="J1545:M1545"/>
    <mergeCell ref="N1545:Q1545"/>
    <mergeCell ref="R1545:U1545"/>
    <mergeCell ref="R1540:U1540"/>
    <mergeCell ref="V1540:X1540"/>
    <mergeCell ref="Y1540:AB1540"/>
    <mergeCell ref="AC1540:AF1540"/>
    <mergeCell ref="B1542:U1542"/>
    <mergeCell ref="C1543:I1543"/>
    <mergeCell ref="J1543:M1543"/>
    <mergeCell ref="N1543:Q1543"/>
    <mergeCell ref="R1543:U1543"/>
    <mergeCell ref="O1539:Q1539"/>
    <mergeCell ref="R1539:U1539"/>
    <mergeCell ref="V1539:X1539"/>
    <mergeCell ref="Y1539:AB1539"/>
    <mergeCell ref="AC1539:AF1539"/>
    <mergeCell ref="B1540:E1540"/>
    <mergeCell ref="F1540:H1540"/>
    <mergeCell ref="I1540:K1540"/>
    <mergeCell ref="L1540:N1540"/>
    <mergeCell ref="O1540:Q1540"/>
    <mergeCell ref="C1536:U1536"/>
    <mergeCell ref="A1538:A1539"/>
    <mergeCell ref="B1538:E1538"/>
    <mergeCell ref="F1538:K1538"/>
    <mergeCell ref="L1538:Q1538"/>
    <mergeCell ref="R1538:U1538"/>
    <mergeCell ref="B1539:E1539"/>
    <mergeCell ref="F1539:H1539"/>
    <mergeCell ref="I1539:K1539"/>
    <mergeCell ref="L1539:N1539"/>
    <mergeCell ref="Y1529:AB1529"/>
    <mergeCell ref="AC1529:AF1529"/>
    <mergeCell ref="B1530:M1530"/>
    <mergeCell ref="N1530:U1530"/>
    <mergeCell ref="B1531:U1531"/>
    <mergeCell ref="A1533:A1535"/>
    <mergeCell ref="C1533:U1533"/>
    <mergeCell ref="C1534:U1534"/>
    <mergeCell ref="C1535:U1535"/>
    <mergeCell ref="V1528:X1528"/>
    <mergeCell ref="Y1528:AB1528"/>
    <mergeCell ref="AC1528:AF1528"/>
    <mergeCell ref="B1529:E1529"/>
    <mergeCell ref="F1529:H1529"/>
    <mergeCell ref="I1529:K1529"/>
    <mergeCell ref="L1529:N1529"/>
    <mergeCell ref="O1529:Q1529"/>
    <mergeCell ref="R1529:U1529"/>
    <mergeCell ref="V1529:X1529"/>
    <mergeCell ref="B1528:E1528"/>
    <mergeCell ref="F1528:H1528"/>
    <mergeCell ref="I1528:K1528"/>
    <mergeCell ref="L1528:N1528"/>
    <mergeCell ref="O1528:Q1528"/>
    <mergeCell ref="R1528:U1528"/>
    <mergeCell ref="B1520:U1520"/>
    <mergeCell ref="A1522:A1524"/>
    <mergeCell ref="C1522:T1522"/>
    <mergeCell ref="C1523:U1523"/>
    <mergeCell ref="C1524:U1524"/>
    <mergeCell ref="A1527:A1528"/>
    <mergeCell ref="B1527:E1527"/>
    <mergeCell ref="F1527:K1527"/>
    <mergeCell ref="L1527:Q1527"/>
    <mergeCell ref="R1527:U1527"/>
    <mergeCell ref="AC1513:AF1513"/>
    <mergeCell ref="B1514:U1514"/>
    <mergeCell ref="C1515:U1515"/>
    <mergeCell ref="C1516:U1516"/>
    <mergeCell ref="C1517:U1517"/>
    <mergeCell ref="C1518:U1518"/>
    <mergeCell ref="Y1512:AB1512"/>
    <mergeCell ref="AC1512:AF1512"/>
    <mergeCell ref="B1513:E1513"/>
    <mergeCell ref="F1513:H1513"/>
    <mergeCell ref="I1513:K1513"/>
    <mergeCell ref="L1513:N1513"/>
    <mergeCell ref="O1513:Q1513"/>
    <mergeCell ref="R1513:U1513"/>
    <mergeCell ref="V1513:X1513"/>
    <mergeCell ref="Y1513:AB1513"/>
    <mergeCell ref="F1512:H1512"/>
    <mergeCell ref="I1512:K1512"/>
    <mergeCell ref="L1512:N1512"/>
    <mergeCell ref="O1512:Q1512"/>
    <mergeCell ref="R1512:U1512"/>
    <mergeCell ref="V1512:X1512"/>
    <mergeCell ref="C1505:U1505"/>
    <mergeCell ref="C1507:U1507"/>
    <mergeCell ref="C1508:U1508"/>
    <mergeCell ref="C1509:U1509"/>
    <mergeCell ref="A1511:A1512"/>
    <mergeCell ref="B1511:E1511"/>
    <mergeCell ref="F1511:K1511"/>
    <mergeCell ref="L1511:Q1511"/>
    <mergeCell ref="R1511:U1511"/>
    <mergeCell ref="B1512:E1512"/>
    <mergeCell ref="Y1500:AB1500"/>
    <mergeCell ref="AC1500:AF1500"/>
    <mergeCell ref="B1501:U1501"/>
    <mergeCell ref="C1502:U1502"/>
    <mergeCell ref="C1503:U1503"/>
    <mergeCell ref="C1504:U1504"/>
    <mergeCell ref="V1499:X1499"/>
    <mergeCell ref="Y1499:AB1499"/>
    <mergeCell ref="AC1499:AF1499"/>
    <mergeCell ref="B1500:E1500"/>
    <mergeCell ref="F1500:H1500"/>
    <mergeCell ref="I1500:K1500"/>
    <mergeCell ref="L1500:N1500"/>
    <mergeCell ref="O1500:Q1500"/>
    <mergeCell ref="R1500:U1500"/>
    <mergeCell ref="V1500:X1500"/>
    <mergeCell ref="B1499:E1499"/>
    <mergeCell ref="F1499:H1499"/>
    <mergeCell ref="I1499:K1499"/>
    <mergeCell ref="L1499:N1499"/>
    <mergeCell ref="O1499:Q1499"/>
    <mergeCell ref="R1499:U1499"/>
    <mergeCell ref="C1491:U1491"/>
    <mergeCell ref="C1492:U1492"/>
    <mergeCell ref="C1494:U1494"/>
    <mergeCell ref="C1495:U1495"/>
    <mergeCell ref="C1496:U1496"/>
    <mergeCell ref="A1498:A1499"/>
    <mergeCell ref="B1498:E1498"/>
    <mergeCell ref="F1498:K1498"/>
    <mergeCell ref="L1498:Q1498"/>
    <mergeCell ref="R1498:U1498"/>
    <mergeCell ref="V1487:X1487"/>
    <mergeCell ref="Y1487:AB1487"/>
    <mergeCell ref="AC1487:AF1487"/>
    <mergeCell ref="B1488:U1488"/>
    <mergeCell ref="C1489:U1489"/>
    <mergeCell ref="C1490:U1490"/>
    <mergeCell ref="B1487:E1487"/>
    <mergeCell ref="F1487:H1487"/>
    <mergeCell ref="I1487:K1487"/>
    <mergeCell ref="L1487:N1487"/>
    <mergeCell ref="O1487:Q1487"/>
    <mergeCell ref="R1487:U1487"/>
    <mergeCell ref="L1486:N1486"/>
    <mergeCell ref="O1486:Q1486"/>
    <mergeCell ref="R1486:U1486"/>
    <mergeCell ref="V1486:X1486"/>
    <mergeCell ref="Y1486:AB1486"/>
    <mergeCell ref="AC1486:AF1486"/>
    <mergeCell ref="C1482:U1482"/>
    <mergeCell ref="C1483:U1483"/>
    <mergeCell ref="A1485:A1486"/>
    <mergeCell ref="B1485:E1485"/>
    <mergeCell ref="F1485:K1485"/>
    <mergeCell ref="L1485:Q1485"/>
    <mergeCell ref="R1485:U1485"/>
    <mergeCell ref="B1486:E1486"/>
    <mergeCell ref="F1486:H1486"/>
    <mergeCell ref="I1486:K1486"/>
    <mergeCell ref="B1475:U1475"/>
    <mergeCell ref="C1476:U1476"/>
    <mergeCell ref="C1477:U1477"/>
    <mergeCell ref="C1478:U1478"/>
    <mergeCell ref="C1479:U1479"/>
    <mergeCell ref="C1481:U1481"/>
    <mergeCell ref="AC1473:AF1473"/>
    <mergeCell ref="B1474:E1474"/>
    <mergeCell ref="F1474:H1474"/>
    <mergeCell ref="I1474:K1474"/>
    <mergeCell ref="L1474:N1474"/>
    <mergeCell ref="O1474:Q1474"/>
    <mergeCell ref="R1474:U1474"/>
    <mergeCell ref="V1474:X1474"/>
    <mergeCell ref="Y1474:AB1474"/>
    <mergeCell ref="AC1474:AF1474"/>
    <mergeCell ref="I1473:K1473"/>
    <mergeCell ref="L1473:N1473"/>
    <mergeCell ref="O1473:Q1473"/>
    <mergeCell ref="R1473:U1473"/>
    <mergeCell ref="V1473:X1473"/>
    <mergeCell ref="Y1473:AB1473"/>
    <mergeCell ref="C1468:U1468"/>
    <mergeCell ref="C1469:U1469"/>
    <mergeCell ref="C1470:U1470"/>
    <mergeCell ref="A1472:A1473"/>
    <mergeCell ref="B1472:E1472"/>
    <mergeCell ref="F1472:K1472"/>
    <mergeCell ref="L1472:Q1472"/>
    <mergeCell ref="R1472:U1472"/>
    <mergeCell ref="B1473:E1473"/>
    <mergeCell ref="F1473:H1473"/>
    <mergeCell ref="AC1461:AF1461"/>
    <mergeCell ref="B1462:U1462"/>
    <mergeCell ref="C1463:U1463"/>
    <mergeCell ref="C1464:U1464"/>
    <mergeCell ref="C1465:U1465"/>
    <mergeCell ref="C1466:U1466"/>
    <mergeCell ref="Y1460:AB1460"/>
    <mergeCell ref="AC1460:AF1460"/>
    <mergeCell ref="B1461:E1461"/>
    <mergeCell ref="F1461:H1461"/>
    <mergeCell ref="I1461:K1461"/>
    <mergeCell ref="L1461:N1461"/>
    <mergeCell ref="O1461:Q1461"/>
    <mergeCell ref="R1461:U1461"/>
    <mergeCell ref="V1461:X1461"/>
    <mergeCell ref="Y1461:AB1461"/>
    <mergeCell ref="F1460:H1460"/>
    <mergeCell ref="I1460:K1460"/>
    <mergeCell ref="L1460:N1460"/>
    <mergeCell ref="O1460:Q1460"/>
    <mergeCell ref="R1460:U1460"/>
    <mergeCell ref="V1460:X1460"/>
    <mergeCell ref="C1453:U1453"/>
    <mergeCell ref="C1455:U1455"/>
    <mergeCell ref="C1456:U1456"/>
    <mergeCell ref="C1457:U1457"/>
    <mergeCell ref="A1459:A1460"/>
    <mergeCell ref="B1459:E1459"/>
    <mergeCell ref="F1459:K1459"/>
    <mergeCell ref="L1459:Q1459"/>
    <mergeCell ref="R1459:U1459"/>
    <mergeCell ref="B1460:E1460"/>
    <mergeCell ref="Y1448:AB1448"/>
    <mergeCell ref="AC1448:AF1448"/>
    <mergeCell ref="B1449:U1449"/>
    <mergeCell ref="C1450:U1450"/>
    <mergeCell ref="C1451:U1451"/>
    <mergeCell ref="C1452:U1452"/>
    <mergeCell ref="V1447:X1447"/>
    <mergeCell ref="Y1447:AB1447"/>
    <mergeCell ref="AC1447:AF1447"/>
    <mergeCell ref="B1448:E1448"/>
    <mergeCell ref="F1448:H1448"/>
    <mergeCell ref="I1448:K1448"/>
    <mergeCell ref="L1448:N1448"/>
    <mergeCell ref="O1448:Q1448"/>
    <mergeCell ref="R1448:U1448"/>
    <mergeCell ref="V1448:X1448"/>
    <mergeCell ref="B1447:E1447"/>
    <mergeCell ref="F1447:H1447"/>
    <mergeCell ref="I1447:K1447"/>
    <mergeCell ref="L1447:N1447"/>
    <mergeCell ref="O1447:Q1447"/>
    <mergeCell ref="R1447:U1447"/>
    <mergeCell ref="C1439:U1439"/>
    <mergeCell ref="C1440:U1440"/>
    <mergeCell ref="C1442:U1442"/>
    <mergeCell ref="C1443:U1443"/>
    <mergeCell ref="C1444:U1444"/>
    <mergeCell ref="A1446:A1447"/>
    <mergeCell ref="B1446:E1446"/>
    <mergeCell ref="F1446:K1446"/>
    <mergeCell ref="L1446:Q1446"/>
    <mergeCell ref="R1446:U1446"/>
    <mergeCell ref="V1435:X1435"/>
    <mergeCell ref="Y1435:AB1435"/>
    <mergeCell ref="AC1435:AF1435"/>
    <mergeCell ref="B1436:U1436"/>
    <mergeCell ref="C1437:U1437"/>
    <mergeCell ref="C1438:U1438"/>
    <mergeCell ref="B1435:E1435"/>
    <mergeCell ref="F1435:H1435"/>
    <mergeCell ref="I1435:K1435"/>
    <mergeCell ref="L1435:N1435"/>
    <mergeCell ref="O1435:Q1435"/>
    <mergeCell ref="R1435:U1435"/>
    <mergeCell ref="L1434:N1434"/>
    <mergeCell ref="O1434:Q1434"/>
    <mergeCell ref="R1434:U1434"/>
    <mergeCell ref="V1434:X1434"/>
    <mergeCell ref="Y1434:AB1434"/>
    <mergeCell ref="AC1434:AF1434"/>
    <mergeCell ref="C1430:U1430"/>
    <mergeCell ref="C1431:U1431"/>
    <mergeCell ref="A1433:A1434"/>
    <mergeCell ref="B1433:E1433"/>
    <mergeCell ref="F1433:K1433"/>
    <mergeCell ref="L1433:Q1433"/>
    <mergeCell ref="R1433:U1433"/>
    <mergeCell ref="B1434:E1434"/>
    <mergeCell ref="F1434:H1434"/>
    <mergeCell ref="I1434:K1434"/>
    <mergeCell ref="B1423:U1423"/>
    <mergeCell ref="C1424:U1424"/>
    <mergeCell ref="C1425:U1425"/>
    <mergeCell ref="C1426:U1426"/>
    <mergeCell ref="C1427:U1427"/>
    <mergeCell ref="C1429:U1429"/>
    <mergeCell ref="AC1421:AF1421"/>
    <mergeCell ref="B1422:E1422"/>
    <mergeCell ref="F1422:H1422"/>
    <mergeCell ref="I1422:K1422"/>
    <mergeCell ref="L1422:N1422"/>
    <mergeCell ref="O1422:Q1422"/>
    <mergeCell ref="R1422:U1422"/>
    <mergeCell ref="V1422:X1422"/>
    <mergeCell ref="Y1422:AB1422"/>
    <mergeCell ref="AC1422:AF1422"/>
    <mergeCell ref="I1421:K1421"/>
    <mergeCell ref="L1421:N1421"/>
    <mergeCell ref="O1421:Q1421"/>
    <mergeCell ref="R1421:U1421"/>
    <mergeCell ref="V1421:X1421"/>
    <mergeCell ref="Y1421:AB1421"/>
    <mergeCell ref="C1416:U1416"/>
    <mergeCell ref="C1417:U1417"/>
    <mergeCell ref="C1418:U1418"/>
    <mergeCell ref="A1420:A1421"/>
    <mergeCell ref="B1420:E1420"/>
    <mergeCell ref="F1420:K1420"/>
    <mergeCell ref="L1420:Q1420"/>
    <mergeCell ref="R1420:U1420"/>
    <mergeCell ref="B1421:E1421"/>
    <mergeCell ref="F1421:H1421"/>
    <mergeCell ref="R1414:U1414"/>
    <mergeCell ref="V1414:X1414"/>
    <mergeCell ref="Y1414:AB1414"/>
    <mergeCell ref="AC1414:AF1414"/>
    <mergeCell ref="B1415:M1415"/>
    <mergeCell ref="N1415:U1415"/>
    <mergeCell ref="O1413:Q1413"/>
    <mergeCell ref="R1413:U1413"/>
    <mergeCell ref="V1413:X1413"/>
    <mergeCell ref="Y1413:AB1413"/>
    <mergeCell ref="AC1413:AF1413"/>
    <mergeCell ref="B1414:E1414"/>
    <mergeCell ref="F1414:H1414"/>
    <mergeCell ref="I1414:K1414"/>
    <mergeCell ref="L1414:N1414"/>
    <mergeCell ref="O1414:Q1414"/>
    <mergeCell ref="B1410:U1410"/>
    <mergeCell ref="A1412:A1413"/>
    <mergeCell ref="B1412:E1412"/>
    <mergeCell ref="F1412:K1412"/>
    <mergeCell ref="L1412:Q1412"/>
    <mergeCell ref="R1412:U1412"/>
    <mergeCell ref="B1413:E1413"/>
    <mergeCell ref="F1413:H1413"/>
    <mergeCell ref="I1413:K1413"/>
    <mergeCell ref="L1413:N1413"/>
    <mergeCell ref="B1405:C1405"/>
    <mergeCell ref="D1405:P1405"/>
    <mergeCell ref="Q1405:U1405"/>
    <mergeCell ref="B1406:P1406"/>
    <mergeCell ref="Q1406:U1406"/>
    <mergeCell ref="A1408:A1409"/>
    <mergeCell ref="C1408:U1408"/>
    <mergeCell ref="B1409:U1409"/>
    <mergeCell ref="B1403:C1403"/>
    <mergeCell ref="D1403:P1403"/>
    <mergeCell ref="Q1403:U1403"/>
    <mergeCell ref="B1404:C1404"/>
    <mergeCell ref="D1404:P1404"/>
    <mergeCell ref="Q1404:U1404"/>
    <mergeCell ref="B1401:C1401"/>
    <mergeCell ref="D1401:P1401"/>
    <mergeCell ref="Q1401:U1401"/>
    <mergeCell ref="B1402:C1402"/>
    <mergeCell ref="D1402:P1402"/>
    <mergeCell ref="Q1402:U1402"/>
    <mergeCell ref="B1399:C1399"/>
    <mergeCell ref="D1399:P1399"/>
    <mergeCell ref="Q1399:U1399"/>
    <mergeCell ref="B1400:C1400"/>
    <mergeCell ref="D1400:P1400"/>
    <mergeCell ref="Q1400:U1400"/>
    <mergeCell ref="B1397:C1397"/>
    <mergeCell ref="D1397:P1397"/>
    <mergeCell ref="Q1397:U1397"/>
    <mergeCell ref="B1398:C1398"/>
    <mergeCell ref="D1398:P1398"/>
    <mergeCell ref="Q1398:U1398"/>
    <mergeCell ref="B1394:U1394"/>
    <mergeCell ref="B1395:C1395"/>
    <mergeCell ref="D1395:P1395"/>
    <mergeCell ref="Q1395:U1395"/>
    <mergeCell ref="B1396:C1396"/>
    <mergeCell ref="D1396:P1396"/>
    <mergeCell ref="Q1396:U1396"/>
    <mergeCell ref="AC1387:AF1387"/>
    <mergeCell ref="B1388:U1388"/>
    <mergeCell ref="C1389:U1389"/>
    <mergeCell ref="C1390:U1390"/>
    <mergeCell ref="C1391:U1391"/>
    <mergeCell ref="C1392:U1392"/>
    <mergeCell ref="Y1386:AB1386"/>
    <mergeCell ref="AC1386:AF1386"/>
    <mergeCell ref="B1387:E1387"/>
    <mergeCell ref="F1387:H1387"/>
    <mergeCell ref="I1387:K1387"/>
    <mergeCell ref="L1387:N1387"/>
    <mergeCell ref="O1387:Q1387"/>
    <mergeCell ref="R1387:U1387"/>
    <mergeCell ref="V1387:X1387"/>
    <mergeCell ref="Y1387:AB1387"/>
    <mergeCell ref="F1386:H1386"/>
    <mergeCell ref="I1386:K1386"/>
    <mergeCell ref="L1386:N1386"/>
    <mergeCell ref="O1386:Q1386"/>
    <mergeCell ref="R1386:U1386"/>
    <mergeCell ref="V1386:X1386"/>
    <mergeCell ref="C1379:U1379"/>
    <mergeCell ref="C1381:U1381"/>
    <mergeCell ref="C1382:U1382"/>
    <mergeCell ref="C1383:U1383"/>
    <mergeCell ref="A1385:A1386"/>
    <mergeCell ref="B1385:E1385"/>
    <mergeCell ref="F1385:K1385"/>
    <mergeCell ref="L1385:Q1385"/>
    <mergeCell ref="R1385:U1385"/>
    <mergeCell ref="B1386:E1386"/>
    <mergeCell ref="Y1374:AB1374"/>
    <mergeCell ref="AC1374:AF1374"/>
    <mergeCell ref="B1375:U1375"/>
    <mergeCell ref="C1376:U1376"/>
    <mergeCell ref="C1377:U1377"/>
    <mergeCell ref="C1378:U1378"/>
    <mergeCell ref="V1373:X1373"/>
    <mergeCell ref="Y1373:AB1373"/>
    <mergeCell ref="AC1373:AF1373"/>
    <mergeCell ref="B1374:E1374"/>
    <mergeCell ref="F1374:H1374"/>
    <mergeCell ref="I1374:K1374"/>
    <mergeCell ref="L1374:N1374"/>
    <mergeCell ref="O1374:Q1374"/>
    <mergeCell ref="R1374:U1374"/>
    <mergeCell ref="V1374:X1374"/>
    <mergeCell ref="B1373:E1373"/>
    <mergeCell ref="F1373:H1373"/>
    <mergeCell ref="I1373:K1373"/>
    <mergeCell ref="L1373:N1373"/>
    <mergeCell ref="O1373:Q1373"/>
    <mergeCell ref="R1373:U1373"/>
    <mergeCell ref="C1365:U1365"/>
    <mergeCell ref="C1366:U1366"/>
    <mergeCell ref="C1368:U1368"/>
    <mergeCell ref="C1369:U1369"/>
    <mergeCell ref="C1370:U1370"/>
    <mergeCell ref="A1372:A1373"/>
    <mergeCell ref="B1372:E1372"/>
    <mergeCell ref="F1372:K1372"/>
    <mergeCell ref="L1372:Q1372"/>
    <mergeCell ref="R1372:U1372"/>
    <mergeCell ref="V1361:X1361"/>
    <mergeCell ref="Y1361:AB1361"/>
    <mergeCell ref="AC1361:AF1361"/>
    <mergeCell ref="B1362:U1362"/>
    <mergeCell ref="C1363:U1363"/>
    <mergeCell ref="C1364:U1364"/>
    <mergeCell ref="B1361:E1361"/>
    <mergeCell ref="F1361:H1361"/>
    <mergeCell ref="I1361:K1361"/>
    <mergeCell ref="L1361:N1361"/>
    <mergeCell ref="O1361:Q1361"/>
    <mergeCell ref="R1361:U1361"/>
    <mergeCell ref="L1360:N1360"/>
    <mergeCell ref="O1360:Q1360"/>
    <mergeCell ref="R1360:U1360"/>
    <mergeCell ref="V1360:X1360"/>
    <mergeCell ref="Y1360:AB1360"/>
    <mergeCell ref="AC1360:AF1360"/>
    <mergeCell ref="C1356:U1356"/>
    <mergeCell ref="C1357:U1357"/>
    <mergeCell ref="A1359:A1360"/>
    <mergeCell ref="B1359:E1359"/>
    <mergeCell ref="F1359:K1359"/>
    <mergeCell ref="L1359:Q1359"/>
    <mergeCell ref="R1359:U1359"/>
    <mergeCell ref="B1360:E1360"/>
    <mergeCell ref="F1360:H1360"/>
    <mergeCell ref="I1360:K1360"/>
    <mergeCell ref="B1350:U1350"/>
    <mergeCell ref="C1351:U1351"/>
    <mergeCell ref="C1352:U1352"/>
    <mergeCell ref="C1353:U1353"/>
    <mergeCell ref="C1354:U1354"/>
    <mergeCell ref="C1355:U1355"/>
    <mergeCell ref="AC1348:AF1348"/>
    <mergeCell ref="B1349:E1349"/>
    <mergeCell ref="F1349:H1349"/>
    <mergeCell ref="I1349:K1349"/>
    <mergeCell ref="L1349:N1349"/>
    <mergeCell ref="O1349:Q1349"/>
    <mergeCell ref="R1349:U1349"/>
    <mergeCell ref="V1349:X1349"/>
    <mergeCell ref="Y1349:AB1349"/>
    <mergeCell ref="AC1349:AF1349"/>
    <mergeCell ref="I1348:K1348"/>
    <mergeCell ref="L1348:N1348"/>
    <mergeCell ref="O1348:Q1348"/>
    <mergeCell ref="R1348:U1348"/>
    <mergeCell ref="V1348:X1348"/>
    <mergeCell ref="Y1348:AB1348"/>
    <mergeCell ref="C1343:U1343"/>
    <mergeCell ref="C1344:U1344"/>
    <mergeCell ref="C1345:U1345"/>
    <mergeCell ref="A1347:A1348"/>
    <mergeCell ref="B1347:E1347"/>
    <mergeCell ref="F1347:K1347"/>
    <mergeCell ref="L1347:Q1347"/>
    <mergeCell ref="R1347:U1347"/>
    <mergeCell ref="B1348:E1348"/>
    <mergeCell ref="F1348:H1348"/>
    <mergeCell ref="AC1336:AF1336"/>
    <mergeCell ref="B1337:U1337"/>
    <mergeCell ref="C1338:U1338"/>
    <mergeCell ref="C1339:U1339"/>
    <mergeCell ref="C1340:U1340"/>
    <mergeCell ref="C1341:U1341"/>
    <mergeCell ref="Y1335:AB1335"/>
    <mergeCell ref="AC1335:AF1335"/>
    <mergeCell ref="B1336:E1336"/>
    <mergeCell ref="F1336:H1336"/>
    <mergeCell ref="I1336:K1336"/>
    <mergeCell ref="L1336:N1336"/>
    <mergeCell ref="O1336:Q1336"/>
    <mergeCell ref="R1336:U1336"/>
    <mergeCell ref="V1336:X1336"/>
    <mergeCell ref="Y1336:AB1336"/>
    <mergeCell ref="F1335:H1335"/>
    <mergeCell ref="I1335:K1335"/>
    <mergeCell ref="L1335:N1335"/>
    <mergeCell ref="O1335:Q1335"/>
    <mergeCell ref="R1335:U1335"/>
    <mergeCell ref="V1335:X1335"/>
    <mergeCell ref="C1328:U1328"/>
    <mergeCell ref="C1330:U1330"/>
    <mergeCell ref="C1331:U1331"/>
    <mergeCell ref="C1332:U1332"/>
    <mergeCell ref="A1334:A1335"/>
    <mergeCell ref="B1334:E1334"/>
    <mergeCell ref="F1334:K1334"/>
    <mergeCell ref="L1334:Q1334"/>
    <mergeCell ref="R1334:U1334"/>
    <mergeCell ref="B1335:E1335"/>
    <mergeCell ref="Y1323:AB1323"/>
    <mergeCell ref="AC1323:AF1323"/>
    <mergeCell ref="B1324:U1324"/>
    <mergeCell ref="C1325:U1325"/>
    <mergeCell ref="C1326:U1326"/>
    <mergeCell ref="C1327:U1327"/>
    <mergeCell ref="V1322:X1322"/>
    <mergeCell ref="Y1322:AB1322"/>
    <mergeCell ref="AC1322:AF1322"/>
    <mergeCell ref="B1323:E1323"/>
    <mergeCell ref="F1323:H1323"/>
    <mergeCell ref="I1323:K1323"/>
    <mergeCell ref="L1323:N1323"/>
    <mergeCell ref="O1323:Q1323"/>
    <mergeCell ref="R1323:U1323"/>
    <mergeCell ref="V1323:X1323"/>
    <mergeCell ref="B1322:E1322"/>
    <mergeCell ref="F1322:H1322"/>
    <mergeCell ref="I1322:K1322"/>
    <mergeCell ref="L1322:N1322"/>
    <mergeCell ref="O1322:Q1322"/>
    <mergeCell ref="R1322:U1322"/>
    <mergeCell ref="B1316:M1316"/>
    <mergeCell ref="N1316:U1316"/>
    <mergeCell ref="C1317:U1317"/>
    <mergeCell ref="C1318:U1318"/>
    <mergeCell ref="C1319:U1319"/>
    <mergeCell ref="A1321:A1322"/>
    <mergeCell ref="B1321:E1321"/>
    <mergeCell ref="F1321:K1321"/>
    <mergeCell ref="L1321:Q1321"/>
    <mergeCell ref="R1321:U1321"/>
    <mergeCell ref="AC1310:AF1310"/>
    <mergeCell ref="B1311:U1311"/>
    <mergeCell ref="C1312:U1312"/>
    <mergeCell ref="C1313:U1313"/>
    <mergeCell ref="C1314:U1314"/>
    <mergeCell ref="C1315:U1315"/>
    <mergeCell ref="Y1309:AB1309"/>
    <mergeCell ref="AC1309:AF1309"/>
    <mergeCell ref="B1310:E1310"/>
    <mergeCell ref="F1310:H1310"/>
    <mergeCell ref="I1310:K1310"/>
    <mergeCell ref="L1310:N1310"/>
    <mergeCell ref="O1310:Q1310"/>
    <mergeCell ref="R1310:U1310"/>
    <mergeCell ref="V1310:X1310"/>
    <mergeCell ref="Y1310:AB1310"/>
    <mergeCell ref="F1309:H1309"/>
    <mergeCell ref="I1309:K1309"/>
    <mergeCell ref="L1309:N1309"/>
    <mergeCell ref="O1309:Q1309"/>
    <mergeCell ref="R1309:U1309"/>
    <mergeCell ref="V1309:X1309"/>
    <mergeCell ref="C1302:U1302"/>
    <mergeCell ref="C1304:U1304"/>
    <mergeCell ref="C1305:U1305"/>
    <mergeCell ref="C1306:U1306"/>
    <mergeCell ref="A1308:A1309"/>
    <mergeCell ref="B1308:E1308"/>
    <mergeCell ref="F1308:K1308"/>
    <mergeCell ref="L1308:Q1308"/>
    <mergeCell ref="R1308:U1308"/>
    <mergeCell ref="B1309:E1309"/>
    <mergeCell ref="Y1297:AB1297"/>
    <mergeCell ref="AC1297:AF1297"/>
    <mergeCell ref="B1298:U1298"/>
    <mergeCell ref="C1299:U1299"/>
    <mergeCell ref="C1300:U1300"/>
    <mergeCell ref="C1301:U1301"/>
    <mergeCell ref="V1296:X1296"/>
    <mergeCell ref="Y1296:AB1296"/>
    <mergeCell ref="AC1296:AF1296"/>
    <mergeCell ref="B1297:E1297"/>
    <mergeCell ref="F1297:H1297"/>
    <mergeCell ref="I1297:K1297"/>
    <mergeCell ref="L1297:N1297"/>
    <mergeCell ref="O1297:Q1297"/>
    <mergeCell ref="R1297:U1297"/>
    <mergeCell ref="V1297:X1297"/>
    <mergeCell ref="B1296:E1296"/>
    <mergeCell ref="F1296:H1296"/>
    <mergeCell ref="I1296:K1296"/>
    <mergeCell ref="L1296:N1296"/>
    <mergeCell ref="O1296:Q1296"/>
    <mergeCell ref="R1296:U1296"/>
    <mergeCell ref="C1289:U1289"/>
    <mergeCell ref="C1290:U1290"/>
    <mergeCell ref="C1291:U1291"/>
    <mergeCell ref="C1292:U1292"/>
    <mergeCell ref="C1293:U1293"/>
    <mergeCell ref="A1295:A1296"/>
    <mergeCell ref="B1295:E1295"/>
    <mergeCell ref="F1295:K1295"/>
    <mergeCell ref="L1295:Q1295"/>
    <mergeCell ref="R1295:U1295"/>
    <mergeCell ref="V1285:X1285"/>
    <mergeCell ref="Y1285:AB1285"/>
    <mergeCell ref="AC1285:AF1285"/>
    <mergeCell ref="B1286:U1286"/>
    <mergeCell ref="C1287:U1287"/>
    <mergeCell ref="C1288:U1288"/>
    <mergeCell ref="R1284:U1284"/>
    <mergeCell ref="V1284:X1284"/>
    <mergeCell ref="Y1284:AB1284"/>
    <mergeCell ref="AC1284:AF1284"/>
    <mergeCell ref="B1285:E1285"/>
    <mergeCell ref="F1285:H1285"/>
    <mergeCell ref="I1285:K1285"/>
    <mergeCell ref="L1285:N1285"/>
    <mergeCell ref="O1285:Q1285"/>
    <mergeCell ref="R1285:U1285"/>
    <mergeCell ref="A1283:A1284"/>
    <mergeCell ref="B1283:E1283"/>
    <mergeCell ref="F1283:K1283"/>
    <mergeCell ref="L1283:Q1283"/>
    <mergeCell ref="R1283:U1283"/>
    <mergeCell ref="B1284:E1284"/>
    <mergeCell ref="F1284:H1284"/>
    <mergeCell ref="I1284:K1284"/>
    <mergeCell ref="L1284:N1284"/>
    <mergeCell ref="O1284:Q1284"/>
    <mergeCell ref="C1275:U1275"/>
    <mergeCell ref="C1276:U1276"/>
    <mergeCell ref="C1277:U1277"/>
    <mergeCell ref="C1279:U1279"/>
    <mergeCell ref="C1280:U1280"/>
    <mergeCell ref="C1281:U1281"/>
    <mergeCell ref="R1272:U1272"/>
    <mergeCell ref="V1272:X1272"/>
    <mergeCell ref="Y1272:AB1272"/>
    <mergeCell ref="AC1272:AF1272"/>
    <mergeCell ref="B1273:U1273"/>
    <mergeCell ref="C1274:U1274"/>
    <mergeCell ref="O1271:Q1271"/>
    <mergeCell ref="R1271:U1271"/>
    <mergeCell ref="V1271:X1271"/>
    <mergeCell ref="Y1271:AB1271"/>
    <mergeCell ref="AC1271:AF1271"/>
    <mergeCell ref="B1272:E1272"/>
    <mergeCell ref="F1272:H1272"/>
    <mergeCell ref="I1272:K1272"/>
    <mergeCell ref="L1272:N1272"/>
    <mergeCell ref="O1272:Q1272"/>
    <mergeCell ref="C1269:U1269"/>
    <mergeCell ref="A1270:A1271"/>
    <mergeCell ref="B1270:E1270"/>
    <mergeCell ref="F1270:K1270"/>
    <mergeCell ref="L1270:Q1270"/>
    <mergeCell ref="R1270:U1270"/>
    <mergeCell ref="B1271:E1271"/>
    <mergeCell ref="F1271:H1271"/>
    <mergeCell ref="I1271:K1271"/>
    <mergeCell ref="L1271:N1271"/>
    <mergeCell ref="Y1265:AB1265"/>
    <mergeCell ref="AC1265:AF1265"/>
    <mergeCell ref="B1266:M1266"/>
    <mergeCell ref="N1266:U1266"/>
    <mergeCell ref="C1267:U1267"/>
    <mergeCell ref="C1268:U1268"/>
    <mergeCell ref="V1264:X1264"/>
    <mergeCell ref="Y1264:AB1264"/>
    <mergeCell ref="AC1264:AF1264"/>
    <mergeCell ref="B1265:E1265"/>
    <mergeCell ref="F1265:H1265"/>
    <mergeCell ref="I1265:K1265"/>
    <mergeCell ref="L1265:N1265"/>
    <mergeCell ref="O1265:Q1265"/>
    <mergeCell ref="R1265:U1265"/>
    <mergeCell ref="V1265:X1265"/>
    <mergeCell ref="B1264:E1264"/>
    <mergeCell ref="F1264:H1264"/>
    <mergeCell ref="I1264:K1264"/>
    <mergeCell ref="L1264:N1264"/>
    <mergeCell ref="O1264:Q1264"/>
    <mergeCell ref="R1264:U1264"/>
    <mergeCell ref="B1257:U1257"/>
    <mergeCell ref="A1259:A1261"/>
    <mergeCell ref="C1259:T1259"/>
    <mergeCell ref="C1260:U1260"/>
    <mergeCell ref="C1261:U1261"/>
    <mergeCell ref="A1263:A1264"/>
    <mergeCell ref="B1263:E1263"/>
    <mergeCell ref="F1263:K1263"/>
    <mergeCell ref="L1263:Q1263"/>
    <mergeCell ref="R1263:U1263"/>
    <mergeCell ref="C1253:O1253"/>
    <mergeCell ref="P1253:U1253"/>
    <mergeCell ref="C1254:O1254"/>
    <mergeCell ref="P1254:U1254"/>
    <mergeCell ref="B1255:O1255"/>
    <mergeCell ref="P1255:U1255"/>
    <mergeCell ref="C1250:O1250"/>
    <mergeCell ref="P1250:U1250"/>
    <mergeCell ref="C1251:O1251"/>
    <mergeCell ref="P1251:U1251"/>
    <mergeCell ref="C1252:O1252"/>
    <mergeCell ref="P1252:U1252"/>
    <mergeCell ref="C1247:O1247"/>
    <mergeCell ref="P1247:U1247"/>
    <mergeCell ref="C1248:O1248"/>
    <mergeCell ref="P1248:U1248"/>
    <mergeCell ref="C1249:O1249"/>
    <mergeCell ref="P1249:U1249"/>
    <mergeCell ref="C1241:U1241"/>
    <mergeCell ref="B1243:U1243"/>
    <mergeCell ref="C1245:O1245"/>
    <mergeCell ref="P1245:U1245"/>
    <mergeCell ref="C1246:O1246"/>
    <mergeCell ref="P1246:U1246"/>
    <mergeCell ref="Y1236:AB1236"/>
    <mergeCell ref="AC1236:AF1236"/>
    <mergeCell ref="B1237:U1237"/>
    <mergeCell ref="C1238:U1238"/>
    <mergeCell ref="C1239:U1239"/>
    <mergeCell ref="C1240:U1240"/>
    <mergeCell ref="V1235:X1235"/>
    <mergeCell ref="Y1235:AB1235"/>
    <mergeCell ref="AC1235:AF1235"/>
    <mergeCell ref="B1236:E1236"/>
    <mergeCell ref="F1236:H1236"/>
    <mergeCell ref="I1236:K1236"/>
    <mergeCell ref="L1236:N1236"/>
    <mergeCell ref="O1236:Q1236"/>
    <mergeCell ref="R1236:U1236"/>
    <mergeCell ref="V1236:X1236"/>
    <mergeCell ref="B1235:E1235"/>
    <mergeCell ref="F1235:H1235"/>
    <mergeCell ref="I1235:K1235"/>
    <mergeCell ref="L1235:N1235"/>
    <mergeCell ref="O1235:Q1235"/>
    <mergeCell ref="R1235:U1235"/>
    <mergeCell ref="C1227:U1227"/>
    <mergeCell ref="C1228:U1228"/>
    <mergeCell ref="C1230:U1230"/>
    <mergeCell ref="C1231:U1231"/>
    <mergeCell ref="C1232:U1232"/>
    <mergeCell ref="A1234:A1235"/>
    <mergeCell ref="B1234:E1234"/>
    <mergeCell ref="F1234:K1234"/>
    <mergeCell ref="L1234:Q1234"/>
    <mergeCell ref="R1234:U1234"/>
    <mergeCell ref="V1223:X1223"/>
    <mergeCell ref="Y1223:AB1223"/>
    <mergeCell ref="AC1223:AF1223"/>
    <mergeCell ref="B1224:U1224"/>
    <mergeCell ref="C1225:U1225"/>
    <mergeCell ref="C1226:U1226"/>
    <mergeCell ref="R1222:U1222"/>
    <mergeCell ref="V1222:X1222"/>
    <mergeCell ref="Y1222:AB1222"/>
    <mergeCell ref="AC1222:AF1222"/>
    <mergeCell ref="B1223:E1223"/>
    <mergeCell ref="F1223:H1223"/>
    <mergeCell ref="I1223:K1223"/>
    <mergeCell ref="L1223:N1223"/>
    <mergeCell ref="O1223:Q1223"/>
    <mergeCell ref="R1223:U1223"/>
    <mergeCell ref="A1221:A1222"/>
    <mergeCell ref="B1221:E1221"/>
    <mergeCell ref="F1221:K1221"/>
    <mergeCell ref="L1221:Q1221"/>
    <mergeCell ref="R1221:U1221"/>
    <mergeCell ref="B1222:E1222"/>
    <mergeCell ref="F1222:H1222"/>
    <mergeCell ref="I1222:K1222"/>
    <mergeCell ref="L1222:N1222"/>
    <mergeCell ref="O1222:Q1222"/>
    <mergeCell ref="C1213:U1213"/>
    <mergeCell ref="C1214:U1214"/>
    <mergeCell ref="C1215:U1215"/>
    <mergeCell ref="C1217:U1217"/>
    <mergeCell ref="C1218:U1218"/>
    <mergeCell ref="C1219:U1219"/>
    <mergeCell ref="R1210:U1210"/>
    <mergeCell ref="V1210:X1210"/>
    <mergeCell ref="Y1210:AB1210"/>
    <mergeCell ref="AC1210:AF1210"/>
    <mergeCell ref="B1211:U1211"/>
    <mergeCell ref="C1212:U1212"/>
    <mergeCell ref="O1209:Q1209"/>
    <mergeCell ref="R1209:U1209"/>
    <mergeCell ref="V1209:X1209"/>
    <mergeCell ref="Y1209:AB1209"/>
    <mergeCell ref="AC1209:AF1209"/>
    <mergeCell ref="B1210:E1210"/>
    <mergeCell ref="F1210:H1210"/>
    <mergeCell ref="I1210:K1210"/>
    <mergeCell ref="L1210:N1210"/>
    <mergeCell ref="O1210:Q1210"/>
    <mergeCell ref="C1206:U1206"/>
    <mergeCell ref="A1208:A1209"/>
    <mergeCell ref="B1208:E1208"/>
    <mergeCell ref="F1208:K1208"/>
    <mergeCell ref="L1208:Q1208"/>
    <mergeCell ref="R1208:U1208"/>
    <mergeCell ref="B1209:E1209"/>
    <mergeCell ref="F1209:H1209"/>
    <mergeCell ref="I1209:K1209"/>
    <mergeCell ref="L1209:N1209"/>
    <mergeCell ref="D1199:U1199"/>
    <mergeCell ref="D1200:U1200"/>
    <mergeCell ref="D1201:U1201"/>
    <mergeCell ref="B1203:U1203"/>
    <mergeCell ref="C1204:U1204"/>
    <mergeCell ref="C1205:U1205"/>
    <mergeCell ref="B1193:U1193"/>
    <mergeCell ref="C1194:U1194"/>
    <mergeCell ref="D1195:U1195"/>
    <mergeCell ref="D1196:U1196"/>
    <mergeCell ref="D1197:U1197"/>
    <mergeCell ref="C1198:U1198"/>
    <mergeCell ref="B1192:E1192"/>
    <mergeCell ref="F1192:H1192"/>
    <mergeCell ref="I1192:K1192"/>
    <mergeCell ref="L1192:N1192"/>
    <mergeCell ref="O1192:Q1192"/>
    <mergeCell ref="R1192:U1192"/>
    <mergeCell ref="AC1190:AF1190"/>
    <mergeCell ref="B1191:E1191"/>
    <mergeCell ref="F1191:H1191"/>
    <mergeCell ref="I1191:K1191"/>
    <mergeCell ref="L1191:N1191"/>
    <mergeCell ref="O1191:Q1191"/>
    <mergeCell ref="R1191:U1191"/>
    <mergeCell ref="V1189:X1189"/>
    <mergeCell ref="Y1189:AB1189"/>
    <mergeCell ref="AC1189:AF1189"/>
    <mergeCell ref="A1190:A1191"/>
    <mergeCell ref="B1190:E1190"/>
    <mergeCell ref="F1190:K1190"/>
    <mergeCell ref="L1190:Q1190"/>
    <mergeCell ref="R1190:U1190"/>
    <mergeCell ref="V1190:X1190"/>
    <mergeCell ref="Y1190:AB1190"/>
    <mergeCell ref="C1186:U1186"/>
    <mergeCell ref="C1187:U1187"/>
    <mergeCell ref="V1187:X1187"/>
    <mergeCell ref="Y1187:AB1187"/>
    <mergeCell ref="AC1187:AF1187"/>
    <mergeCell ref="C1188:U1188"/>
    <mergeCell ref="Y1188:AB1188"/>
    <mergeCell ref="AC1188:AF1188"/>
    <mergeCell ref="AC1179:AF1179"/>
    <mergeCell ref="B1180:U1180"/>
    <mergeCell ref="C1181:U1181"/>
    <mergeCell ref="C1182:U1182"/>
    <mergeCell ref="C1183:U1183"/>
    <mergeCell ref="C1184:U1184"/>
    <mergeCell ref="Y1178:AB1178"/>
    <mergeCell ref="AC1178:AF1178"/>
    <mergeCell ref="B1179:E1179"/>
    <mergeCell ref="F1179:H1179"/>
    <mergeCell ref="I1179:K1179"/>
    <mergeCell ref="L1179:N1179"/>
    <mergeCell ref="O1179:Q1179"/>
    <mergeCell ref="R1179:U1179"/>
    <mergeCell ref="V1179:X1179"/>
    <mergeCell ref="Y1179:AB1179"/>
    <mergeCell ref="F1178:H1178"/>
    <mergeCell ref="I1178:K1178"/>
    <mergeCell ref="L1178:N1178"/>
    <mergeCell ref="O1178:Q1178"/>
    <mergeCell ref="R1178:U1178"/>
    <mergeCell ref="V1178:X1178"/>
    <mergeCell ref="D1171:U1171"/>
    <mergeCell ref="C1173:U1173"/>
    <mergeCell ref="C1174:U1174"/>
    <mergeCell ref="C1175:U1175"/>
    <mergeCell ref="A1177:A1178"/>
    <mergeCell ref="B1177:E1177"/>
    <mergeCell ref="F1177:K1177"/>
    <mergeCell ref="L1177:Q1177"/>
    <mergeCell ref="R1177:U1177"/>
    <mergeCell ref="B1178:E1178"/>
    <mergeCell ref="D1165:U1165"/>
    <mergeCell ref="D1166:U1166"/>
    <mergeCell ref="D1167:U1167"/>
    <mergeCell ref="C1168:U1168"/>
    <mergeCell ref="D1169:U1169"/>
    <mergeCell ref="D1170:U1170"/>
    <mergeCell ref="R1162:U1162"/>
    <mergeCell ref="V1162:X1162"/>
    <mergeCell ref="Y1162:AB1162"/>
    <mergeCell ref="AC1162:AF1162"/>
    <mergeCell ref="B1163:U1163"/>
    <mergeCell ref="C1164:U1164"/>
    <mergeCell ref="L1161:N1161"/>
    <mergeCell ref="O1161:Q1161"/>
    <mergeCell ref="R1161:U1161"/>
    <mergeCell ref="V1161:X1161"/>
    <mergeCell ref="Y1161:AB1161"/>
    <mergeCell ref="B1162:E1162"/>
    <mergeCell ref="F1162:H1162"/>
    <mergeCell ref="I1162:K1162"/>
    <mergeCell ref="L1162:N1162"/>
    <mergeCell ref="O1162:Q1162"/>
    <mergeCell ref="C1157:U1157"/>
    <mergeCell ref="C1158:U1158"/>
    <mergeCell ref="A1160:A1161"/>
    <mergeCell ref="B1160:E1160"/>
    <mergeCell ref="F1160:K1160"/>
    <mergeCell ref="L1160:Q1160"/>
    <mergeCell ref="R1160:U1160"/>
    <mergeCell ref="B1161:E1161"/>
    <mergeCell ref="F1161:H1161"/>
    <mergeCell ref="I1161:K1161"/>
    <mergeCell ref="D1150:U1150"/>
    <mergeCell ref="C1151:U1151"/>
    <mergeCell ref="D1152:U1152"/>
    <mergeCell ref="D1153:U1153"/>
    <mergeCell ref="D1154:U1154"/>
    <mergeCell ref="C1156:U1156"/>
    <mergeCell ref="Y1145:AB1145"/>
    <mergeCell ref="AC1145:AF1145"/>
    <mergeCell ref="B1146:U1146"/>
    <mergeCell ref="C1147:U1147"/>
    <mergeCell ref="D1148:U1148"/>
    <mergeCell ref="D1149:U1149"/>
    <mergeCell ref="R1144:U1144"/>
    <mergeCell ref="V1144:X1144"/>
    <mergeCell ref="Y1144:AB1144"/>
    <mergeCell ref="AC1144:AF1144"/>
    <mergeCell ref="B1145:E1145"/>
    <mergeCell ref="F1145:H1145"/>
    <mergeCell ref="I1145:K1145"/>
    <mergeCell ref="L1145:N1145"/>
    <mergeCell ref="O1145:Q1145"/>
    <mergeCell ref="R1145:U1145"/>
    <mergeCell ref="A1143:A1144"/>
    <mergeCell ref="B1143:E1143"/>
    <mergeCell ref="F1143:K1143"/>
    <mergeCell ref="L1143:Q1143"/>
    <mergeCell ref="R1143:U1143"/>
    <mergeCell ref="B1144:E1144"/>
    <mergeCell ref="F1144:H1144"/>
    <mergeCell ref="I1144:K1144"/>
    <mergeCell ref="L1144:N1144"/>
    <mergeCell ref="O1144:Q1144"/>
    <mergeCell ref="C1137:U1137"/>
    <mergeCell ref="B1138:M1138"/>
    <mergeCell ref="N1138:U1138"/>
    <mergeCell ref="C1139:U1139"/>
    <mergeCell ref="C1140:U1140"/>
    <mergeCell ref="C1141:U1141"/>
    <mergeCell ref="Y1132:AB1132"/>
    <mergeCell ref="AC1132:AF1132"/>
    <mergeCell ref="B1133:U1133"/>
    <mergeCell ref="C1134:U1134"/>
    <mergeCell ref="C1135:U1135"/>
    <mergeCell ref="C1136:U1136"/>
    <mergeCell ref="V1131:X1131"/>
    <mergeCell ref="Y1131:AB1131"/>
    <mergeCell ref="AC1131:AF1131"/>
    <mergeCell ref="B1132:E1132"/>
    <mergeCell ref="F1132:H1132"/>
    <mergeCell ref="I1132:K1132"/>
    <mergeCell ref="L1132:N1132"/>
    <mergeCell ref="O1132:Q1132"/>
    <mergeCell ref="R1132:U1132"/>
    <mergeCell ref="V1132:X1132"/>
    <mergeCell ref="B1131:E1131"/>
    <mergeCell ref="F1131:H1131"/>
    <mergeCell ref="I1131:K1131"/>
    <mergeCell ref="L1131:N1131"/>
    <mergeCell ref="O1131:Q1131"/>
    <mergeCell ref="R1131:U1131"/>
    <mergeCell ref="B1126:M1126"/>
    <mergeCell ref="N1126:U1126"/>
    <mergeCell ref="C1127:U1127"/>
    <mergeCell ref="C1128:U1128"/>
    <mergeCell ref="C1129:U1129"/>
    <mergeCell ref="A1130:A1131"/>
    <mergeCell ref="B1130:E1130"/>
    <mergeCell ref="F1130:K1130"/>
    <mergeCell ref="L1130:Q1130"/>
    <mergeCell ref="R1130:U1130"/>
    <mergeCell ref="AC1124:AF1124"/>
    <mergeCell ref="B1125:E1125"/>
    <mergeCell ref="F1125:H1125"/>
    <mergeCell ref="I1125:K1125"/>
    <mergeCell ref="L1125:N1125"/>
    <mergeCell ref="O1125:Q1125"/>
    <mergeCell ref="R1125:U1125"/>
    <mergeCell ref="V1125:X1125"/>
    <mergeCell ref="Y1125:AB1125"/>
    <mergeCell ref="AC1125:AF1125"/>
    <mergeCell ref="I1124:K1124"/>
    <mergeCell ref="L1124:N1124"/>
    <mergeCell ref="O1124:Q1124"/>
    <mergeCell ref="R1124:U1124"/>
    <mergeCell ref="V1124:X1124"/>
    <mergeCell ref="Y1124:AB1124"/>
    <mergeCell ref="A1120:A1121"/>
    <mergeCell ref="C1120:U1120"/>
    <mergeCell ref="C1121:U1121"/>
    <mergeCell ref="A1123:A1124"/>
    <mergeCell ref="B1123:E1123"/>
    <mergeCell ref="F1123:K1123"/>
    <mergeCell ref="L1123:Q1123"/>
    <mergeCell ref="R1123:U1123"/>
    <mergeCell ref="B1124:E1124"/>
    <mergeCell ref="F1124:H1124"/>
    <mergeCell ref="B1117:C1117"/>
    <mergeCell ref="D1117:P1117"/>
    <mergeCell ref="Q1117:U1117"/>
    <mergeCell ref="V1117:AD1117"/>
    <mergeCell ref="B1118:P1118"/>
    <mergeCell ref="Q1118:U1118"/>
    <mergeCell ref="B1115:C1115"/>
    <mergeCell ref="D1115:P1115"/>
    <mergeCell ref="Q1115:U1115"/>
    <mergeCell ref="B1116:C1116"/>
    <mergeCell ref="D1116:P1116"/>
    <mergeCell ref="Q1116:U1116"/>
    <mergeCell ref="B1113:C1113"/>
    <mergeCell ref="D1113:P1113"/>
    <mergeCell ref="Q1113:U1113"/>
    <mergeCell ref="B1114:C1114"/>
    <mergeCell ref="D1114:P1114"/>
    <mergeCell ref="Q1114:U1114"/>
    <mergeCell ref="B1111:C1111"/>
    <mergeCell ref="D1111:P1111"/>
    <mergeCell ref="Q1111:U1111"/>
    <mergeCell ref="B1112:C1112"/>
    <mergeCell ref="D1112:P1112"/>
    <mergeCell ref="Q1112:U1112"/>
    <mergeCell ref="B1109:C1109"/>
    <mergeCell ref="D1109:P1109"/>
    <mergeCell ref="Q1109:U1109"/>
    <mergeCell ref="B1110:C1110"/>
    <mergeCell ref="D1110:P1110"/>
    <mergeCell ref="Q1110:U1110"/>
    <mergeCell ref="B1107:C1107"/>
    <mergeCell ref="D1107:P1107"/>
    <mergeCell ref="Q1107:U1107"/>
    <mergeCell ref="B1108:C1108"/>
    <mergeCell ref="D1108:P1108"/>
    <mergeCell ref="Q1108:U1108"/>
    <mergeCell ref="B1105:C1105"/>
    <mergeCell ref="D1105:P1105"/>
    <mergeCell ref="Q1105:U1105"/>
    <mergeCell ref="B1106:C1106"/>
    <mergeCell ref="D1106:P1106"/>
    <mergeCell ref="Q1106:U1106"/>
    <mergeCell ref="B1103:C1103"/>
    <mergeCell ref="D1103:P1103"/>
    <mergeCell ref="Q1103:U1103"/>
    <mergeCell ref="B1104:C1104"/>
    <mergeCell ref="D1104:P1104"/>
    <mergeCell ref="Q1104:U1104"/>
    <mergeCell ref="B1101:C1101"/>
    <mergeCell ref="D1101:P1101"/>
    <mergeCell ref="Q1101:U1101"/>
    <mergeCell ref="B1102:C1102"/>
    <mergeCell ref="D1102:P1102"/>
    <mergeCell ref="Q1102:U1102"/>
    <mergeCell ref="B1099:C1099"/>
    <mergeCell ref="D1099:P1099"/>
    <mergeCell ref="Q1099:U1099"/>
    <mergeCell ref="B1100:C1100"/>
    <mergeCell ref="D1100:P1100"/>
    <mergeCell ref="Q1100:U1100"/>
    <mergeCell ref="B1097:C1097"/>
    <mergeCell ref="D1097:P1097"/>
    <mergeCell ref="Q1097:U1097"/>
    <mergeCell ref="B1098:C1098"/>
    <mergeCell ref="D1098:P1098"/>
    <mergeCell ref="Q1098:U1098"/>
    <mergeCell ref="B1095:C1095"/>
    <mergeCell ref="D1095:P1095"/>
    <mergeCell ref="Q1095:U1095"/>
    <mergeCell ref="B1096:C1096"/>
    <mergeCell ref="D1096:P1096"/>
    <mergeCell ref="Q1096:U1096"/>
    <mergeCell ref="B1087:U1087"/>
    <mergeCell ref="C1088:U1088"/>
    <mergeCell ref="C1089:U1089"/>
    <mergeCell ref="C1090:U1090"/>
    <mergeCell ref="C1091:U1091"/>
    <mergeCell ref="B1093:U1093"/>
    <mergeCell ref="AC1085:AF1085"/>
    <mergeCell ref="B1086:E1086"/>
    <mergeCell ref="F1086:H1086"/>
    <mergeCell ref="I1086:K1086"/>
    <mergeCell ref="L1086:N1086"/>
    <mergeCell ref="O1086:Q1086"/>
    <mergeCell ref="R1086:U1086"/>
    <mergeCell ref="V1086:X1086"/>
    <mergeCell ref="Y1086:AB1086"/>
    <mergeCell ref="AC1086:AF1086"/>
    <mergeCell ref="I1085:K1085"/>
    <mergeCell ref="L1085:N1085"/>
    <mergeCell ref="O1085:Q1085"/>
    <mergeCell ref="R1085:U1085"/>
    <mergeCell ref="V1085:X1085"/>
    <mergeCell ref="Y1085:AB1085"/>
    <mergeCell ref="C1080:U1080"/>
    <mergeCell ref="C1081:U1081"/>
    <mergeCell ref="C1082:U1082"/>
    <mergeCell ref="A1084:A1085"/>
    <mergeCell ref="B1084:E1084"/>
    <mergeCell ref="F1084:K1084"/>
    <mergeCell ref="L1084:Q1084"/>
    <mergeCell ref="R1084:U1084"/>
    <mergeCell ref="B1085:E1085"/>
    <mergeCell ref="F1085:H1085"/>
    <mergeCell ref="AC1073:AF1073"/>
    <mergeCell ref="B1074:U1074"/>
    <mergeCell ref="C1075:U1075"/>
    <mergeCell ref="C1076:U1076"/>
    <mergeCell ref="C1077:U1077"/>
    <mergeCell ref="C1078:U1078"/>
    <mergeCell ref="Y1072:AB1072"/>
    <mergeCell ref="AC1072:AF1072"/>
    <mergeCell ref="B1073:E1073"/>
    <mergeCell ref="F1073:H1073"/>
    <mergeCell ref="I1073:K1073"/>
    <mergeCell ref="L1073:N1073"/>
    <mergeCell ref="O1073:Q1073"/>
    <mergeCell ref="R1073:U1073"/>
    <mergeCell ref="V1073:X1073"/>
    <mergeCell ref="Y1073:AB1073"/>
    <mergeCell ref="F1072:H1072"/>
    <mergeCell ref="I1072:K1072"/>
    <mergeCell ref="L1072:N1072"/>
    <mergeCell ref="O1072:Q1072"/>
    <mergeCell ref="R1072:U1072"/>
    <mergeCell ref="V1072:X1072"/>
    <mergeCell ref="C1065:U1065"/>
    <mergeCell ref="C1067:U1067"/>
    <mergeCell ref="C1068:U1068"/>
    <mergeCell ref="C1069:U1069"/>
    <mergeCell ref="A1071:A1072"/>
    <mergeCell ref="B1071:E1071"/>
    <mergeCell ref="F1071:K1071"/>
    <mergeCell ref="L1071:Q1071"/>
    <mergeCell ref="R1071:U1071"/>
    <mergeCell ref="B1072:E1072"/>
    <mergeCell ref="Y1060:AB1060"/>
    <mergeCell ref="AC1060:AF1060"/>
    <mergeCell ref="B1061:U1061"/>
    <mergeCell ref="C1062:U1062"/>
    <mergeCell ref="C1063:U1063"/>
    <mergeCell ref="C1064:U1064"/>
    <mergeCell ref="V1059:X1059"/>
    <mergeCell ref="Y1059:AB1059"/>
    <mergeCell ref="AC1059:AF1059"/>
    <mergeCell ref="B1060:E1060"/>
    <mergeCell ref="F1060:H1060"/>
    <mergeCell ref="I1060:K1060"/>
    <mergeCell ref="L1060:N1060"/>
    <mergeCell ref="O1060:Q1060"/>
    <mergeCell ref="R1060:U1060"/>
    <mergeCell ref="V1060:X1060"/>
    <mergeCell ref="B1059:E1059"/>
    <mergeCell ref="F1059:H1059"/>
    <mergeCell ref="I1059:K1059"/>
    <mergeCell ref="L1059:N1059"/>
    <mergeCell ref="O1059:Q1059"/>
    <mergeCell ref="R1059:U1059"/>
    <mergeCell ref="C1051:U1051"/>
    <mergeCell ref="C1052:U1052"/>
    <mergeCell ref="C1054:U1054"/>
    <mergeCell ref="C1055:U1055"/>
    <mergeCell ref="C1056:U1056"/>
    <mergeCell ref="A1058:A1059"/>
    <mergeCell ref="B1058:E1058"/>
    <mergeCell ref="F1058:K1058"/>
    <mergeCell ref="L1058:Q1058"/>
    <mergeCell ref="R1058:U1058"/>
    <mergeCell ref="V1047:X1047"/>
    <mergeCell ref="Y1047:AB1047"/>
    <mergeCell ref="AC1047:AF1047"/>
    <mergeCell ref="B1048:U1048"/>
    <mergeCell ref="C1049:U1049"/>
    <mergeCell ref="C1050:U1050"/>
    <mergeCell ref="B1047:E1047"/>
    <mergeCell ref="F1047:H1047"/>
    <mergeCell ref="I1047:K1047"/>
    <mergeCell ref="L1047:N1047"/>
    <mergeCell ref="O1047:Q1047"/>
    <mergeCell ref="R1047:U1047"/>
    <mergeCell ref="L1046:N1046"/>
    <mergeCell ref="O1046:Q1046"/>
    <mergeCell ref="R1046:U1046"/>
    <mergeCell ref="V1046:X1046"/>
    <mergeCell ref="Y1046:AB1046"/>
    <mergeCell ref="AC1046:AF1046"/>
    <mergeCell ref="C1042:U1042"/>
    <mergeCell ref="C1043:U1043"/>
    <mergeCell ref="A1045:A1046"/>
    <mergeCell ref="B1045:E1045"/>
    <mergeCell ref="F1045:K1045"/>
    <mergeCell ref="L1045:Q1045"/>
    <mergeCell ref="R1045:U1045"/>
    <mergeCell ref="B1046:E1046"/>
    <mergeCell ref="F1046:H1046"/>
    <mergeCell ref="I1046:K1046"/>
    <mergeCell ref="B1035:U1035"/>
    <mergeCell ref="C1036:U1036"/>
    <mergeCell ref="C1037:U1037"/>
    <mergeCell ref="C1038:U1038"/>
    <mergeCell ref="C1039:U1039"/>
    <mergeCell ref="C1041:U1041"/>
    <mergeCell ref="R1033:U1033"/>
    <mergeCell ref="B1034:E1034"/>
    <mergeCell ref="F1034:H1034"/>
    <mergeCell ref="I1034:K1034"/>
    <mergeCell ref="L1034:N1034"/>
    <mergeCell ref="O1034:Q1034"/>
    <mergeCell ref="R1034:U1034"/>
    <mergeCell ref="A1032:A1033"/>
    <mergeCell ref="B1032:E1032"/>
    <mergeCell ref="F1032:K1032"/>
    <mergeCell ref="L1032:Q1032"/>
    <mergeCell ref="R1032:U1032"/>
    <mergeCell ref="B1033:E1033"/>
    <mergeCell ref="F1033:H1033"/>
    <mergeCell ref="I1033:K1033"/>
    <mergeCell ref="L1033:N1033"/>
    <mergeCell ref="O1033:Q1033"/>
    <mergeCell ref="C1029:U1029"/>
    <mergeCell ref="C1030:U1030"/>
    <mergeCell ref="V1030:X1030"/>
    <mergeCell ref="Y1030:AB1030"/>
    <mergeCell ref="AC1030:AF1030"/>
    <mergeCell ref="V1031:X1031"/>
    <mergeCell ref="Y1031:AB1031"/>
    <mergeCell ref="AC1031:AF1031"/>
    <mergeCell ref="B1022:U1022"/>
    <mergeCell ref="C1023:U1023"/>
    <mergeCell ref="C1024:U1024"/>
    <mergeCell ref="C1025:U1025"/>
    <mergeCell ref="C1026:U1026"/>
    <mergeCell ref="C1028:U1028"/>
    <mergeCell ref="R1020:U1020"/>
    <mergeCell ref="B1021:E1021"/>
    <mergeCell ref="F1021:H1021"/>
    <mergeCell ref="I1021:K1021"/>
    <mergeCell ref="L1021:N1021"/>
    <mergeCell ref="O1021:Q1021"/>
    <mergeCell ref="R1021:U1021"/>
    <mergeCell ref="A1019:A1020"/>
    <mergeCell ref="B1019:E1019"/>
    <mergeCell ref="F1019:K1019"/>
    <mergeCell ref="L1019:Q1019"/>
    <mergeCell ref="R1019:U1019"/>
    <mergeCell ref="B1020:E1020"/>
    <mergeCell ref="F1020:H1020"/>
    <mergeCell ref="I1020:K1020"/>
    <mergeCell ref="L1020:N1020"/>
    <mergeCell ref="O1020:Q1020"/>
    <mergeCell ref="C1016:U1016"/>
    <mergeCell ref="C1017:U1017"/>
    <mergeCell ref="V1017:X1017"/>
    <mergeCell ref="Y1017:AB1017"/>
    <mergeCell ref="AC1017:AF1017"/>
    <mergeCell ref="V1018:X1018"/>
    <mergeCell ref="Y1018:AB1018"/>
    <mergeCell ref="AC1018:AF1018"/>
    <mergeCell ref="B1009:U1009"/>
    <mergeCell ref="C1010:U1010"/>
    <mergeCell ref="C1011:U1011"/>
    <mergeCell ref="C1012:U1012"/>
    <mergeCell ref="C1013:U1013"/>
    <mergeCell ref="C1015:U1015"/>
    <mergeCell ref="R1007:U1007"/>
    <mergeCell ref="B1008:E1008"/>
    <mergeCell ref="F1008:H1008"/>
    <mergeCell ref="I1008:K1008"/>
    <mergeCell ref="L1008:N1008"/>
    <mergeCell ref="O1008:Q1008"/>
    <mergeCell ref="R1008:U1008"/>
    <mergeCell ref="A1006:A1007"/>
    <mergeCell ref="B1006:E1006"/>
    <mergeCell ref="F1006:K1006"/>
    <mergeCell ref="L1006:Q1006"/>
    <mergeCell ref="R1006:U1006"/>
    <mergeCell ref="B1007:E1007"/>
    <mergeCell ref="F1007:H1007"/>
    <mergeCell ref="I1007:K1007"/>
    <mergeCell ref="L1007:N1007"/>
    <mergeCell ref="O1007:Q1007"/>
    <mergeCell ref="C1004:U1004"/>
    <mergeCell ref="V1004:X1004"/>
    <mergeCell ref="Y1004:AB1004"/>
    <mergeCell ref="AC1004:AF1004"/>
    <mergeCell ref="C1005:U1005"/>
    <mergeCell ref="V1005:X1005"/>
    <mergeCell ref="Y1005:AB1005"/>
    <mergeCell ref="AC1005:AF1005"/>
    <mergeCell ref="B997:U997"/>
    <mergeCell ref="C998:U998"/>
    <mergeCell ref="C999:U999"/>
    <mergeCell ref="C1000:U1000"/>
    <mergeCell ref="C1001:U1001"/>
    <mergeCell ref="C1003:U1003"/>
    <mergeCell ref="R995:U995"/>
    <mergeCell ref="B996:E996"/>
    <mergeCell ref="F996:H996"/>
    <mergeCell ref="I996:K996"/>
    <mergeCell ref="L996:N996"/>
    <mergeCell ref="O996:Q996"/>
    <mergeCell ref="R996:U996"/>
    <mergeCell ref="A994:A995"/>
    <mergeCell ref="B994:E994"/>
    <mergeCell ref="F994:K994"/>
    <mergeCell ref="L994:Q994"/>
    <mergeCell ref="R994:U994"/>
    <mergeCell ref="B995:E995"/>
    <mergeCell ref="F995:H995"/>
    <mergeCell ref="I995:K995"/>
    <mergeCell ref="L995:N995"/>
    <mergeCell ref="O995:Q995"/>
    <mergeCell ref="C992:U992"/>
    <mergeCell ref="V992:X992"/>
    <mergeCell ref="Y992:AB992"/>
    <mergeCell ref="AC992:AF992"/>
    <mergeCell ref="C993:U993"/>
    <mergeCell ref="V993:X993"/>
    <mergeCell ref="Y993:AB993"/>
    <mergeCell ref="AC993:AF993"/>
    <mergeCell ref="B985:U985"/>
    <mergeCell ref="C986:U986"/>
    <mergeCell ref="C987:U987"/>
    <mergeCell ref="C988:U988"/>
    <mergeCell ref="C989:U989"/>
    <mergeCell ref="C991:U991"/>
    <mergeCell ref="B984:E984"/>
    <mergeCell ref="F984:H984"/>
    <mergeCell ref="I984:K984"/>
    <mergeCell ref="L984:N984"/>
    <mergeCell ref="O984:Q984"/>
    <mergeCell ref="R984:U984"/>
    <mergeCell ref="Y982:AB982"/>
    <mergeCell ref="AC982:AF982"/>
    <mergeCell ref="B983:E983"/>
    <mergeCell ref="F983:H983"/>
    <mergeCell ref="I983:K983"/>
    <mergeCell ref="L983:N983"/>
    <mergeCell ref="O983:Q983"/>
    <mergeCell ref="R983:U983"/>
    <mergeCell ref="A982:A983"/>
    <mergeCell ref="B982:E982"/>
    <mergeCell ref="F982:K982"/>
    <mergeCell ref="L982:Q982"/>
    <mergeCell ref="R982:U982"/>
    <mergeCell ref="V982:X982"/>
    <mergeCell ref="C980:U980"/>
    <mergeCell ref="V980:X980"/>
    <mergeCell ref="Y980:AB980"/>
    <mergeCell ref="AC980:AF980"/>
    <mergeCell ref="C981:U981"/>
    <mergeCell ref="V981:X981"/>
    <mergeCell ref="Y981:AB981"/>
    <mergeCell ref="AC981:AF981"/>
    <mergeCell ref="B973:U973"/>
    <mergeCell ref="C974:U974"/>
    <mergeCell ref="C975:U975"/>
    <mergeCell ref="C976:U976"/>
    <mergeCell ref="C977:U977"/>
    <mergeCell ref="C979:U979"/>
    <mergeCell ref="L971:N971"/>
    <mergeCell ref="O971:Q971"/>
    <mergeCell ref="R971:U971"/>
    <mergeCell ref="B972:E972"/>
    <mergeCell ref="F972:H972"/>
    <mergeCell ref="I972:K972"/>
    <mergeCell ref="L972:N972"/>
    <mergeCell ref="O972:Q972"/>
    <mergeCell ref="R972:U972"/>
    <mergeCell ref="C967:U967"/>
    <mergeCell ref="C968:U968"/>
    <mergeCell ref="A970:A971"/>
    <mergeCell ref="B970:E970"/>
    <mergeCell ref="F970:K970"/>
    <mergeCell ref="L970:Q970"/>
    <mergeCell ref="R970:U970"/>
    <mergeCell ref="B971:E971"/>
    <mergeCell ref="F971:H971"/>
    <mergeCell ref="I971:K971"/>
    <mergeCell ref="B960:U960"/>
    <mergeCell ref="C961:U961"/>
    <mergeCell ref="C962:U962"/>
    <mergeCell ref="C963:U963"/>
    <mergeCell ref="C964:U964"/>
    <mergeCell ref="C966:U966"/>
    <mergeCell ref="L958:N958"/>
    <mergeCell ref="O958:Q958"/>
    <mergeCell ref="R958:U958"/>
    <mergeCell ref="B959:E959"/>
    <mergeCell ref="F959:H959"/>
    <mergeCell ref="I959:K959"/>
    <mergeCell ref="L959:N959"/>
    <mergeCell ref="O959:Q959"/>
    <mergeCell ref="R959:U959"/>
    <mergeCell ref="C954:U954"/>
    <mergeCell ref="C956:U956"/>
    <mergeCell ref="A957:A958"/>
    <mergeCell ref="B957:E957"/>
    <mergeCell ref="F957:K957"/>
    <mergeCell ref="L957:Q957"/>
    <mergeCell ref="R957:U957"/>
    <mergeCell ref="B958:E958"/>
    <mergeCell ref="F958:H958"/>
    <mergeCell ref="I958:K958"/>
    <mergeCell ref="B947:U947"/>
    <mergeCell ref="C948:U948"/>
    <mergeCell ref="C949:U949"/>
    <mergeCell ref="C950:U950"/>
    <mergeCell ref="C951:U951"/>
    <mergeCell ref="C953:U953"/>
    <mergeCell ref="L945:N945"/>
    <mergeCell ref="O945:Q945"/>
    <mergeCell ref="R945:U945"/>
    <mergeCell ref="B946:E946"/>
    <mergeCell ref="F946:H946"/>
    <mergeCell ref="I946:K946"/>
    <mergeCell ref="L946:N946"/>
    <mergeCell ref="O946:Q946"/>
    <mergeCell ref="R946:U946"/>
    <mergeCell ref="C941:U941"/>
    <mergeCell ref="C943:U943"/>
    <mergeCell ref="A944:A945"/>
    <mergeCell ref="B944:E944"/>
    <mergeCell ref="F944:K944"/>
    <mergeCell ref="L944:Q944"/>
    <mergeCell ref="R944:U944"/>
    <mergeCell ref="B945:E945"/>
    <mergeCell ref="F945:H945"/>
    <mergeCell ref="I945:K945"/>
    <mergeCell ref="B934:U934"/>
    <mergeCell ref="C935:U935"/>
    <mergeCell ref="C936:U936"/>
    <mergeCell ref="C937:U937"/>
    <mergeCell ref="C938:U938"/>
    <mergeCell ref="C940:U940"/>
    <mergeCell ref="I932:K932"/>
    <mergeCell ref="L932:N932"/>
    <mergeCell ref="O932:Q932"/>
    <mergeCell ref="R932:U932"/>
    <mergeCell ref="B933:E933"/>
    <mergeCell ref="F933:H933"/>
    <mergeCell ref="I933:K933"/>
    <mergeCell ref="L933:N933"/>
    <mergeCell ref="O933:Q933"/>
    <mergeCell ref="R933:U933"/>
    <mergeCell ref="C927:U927"/>
    <mergeCell ref="C928:U928"/>
    <mergeCell ref="C930:U930"/>
    <mergeCell ref="A931:A932"/>
    <mergeCell ref="B931:E931"/>
    <mergeCell ref="F931:K931"/>
    <mergeCell ref="L931:Q931"/>
    <mergeCell ref="R931:U931"/>
    <mergeCell ref="B932:E932"/>
    <mergeCell ref="F932:H932"/>
    <mergeCell ref="B921:U921"/>
    <mergeCell ref="C922:U922"/>
    <mergeCell ref="C923:U923"/>
    <mergeCell ref="C924:U924"/>
    <mergeCell ref="C925:U925"/>
    <mergeCell ref="C926:U926"/>
    <mergeCell ref="B920:E920"/>
    <mergeCell ref="F920:H920"/>
    <mergeCell ref="I920:K920"/>
    <mergeCell ref="L920:N920"/>
    <mergeCell ref="O920:Q920"/>
    <mergeCell ref="R920:U920"/>
    <mergeCell ref="B919:E919"/>
    <mergeCell ref="F919:H919"/>
    <mergeCell ref="I919:K919"/>
    <mergeCell ref="L919:N919"/>
    <mergeCell ref="O919:Q919"/>
    <mergeCell ref="R919:U919"/>
    <mergeCell ref="C910:U910"/>
    <mergeCell ref="C911:U911"/>
    <mergeCell ref="C914:U914"/>
    <mergeCell ref="C915:U915"/>
    <mergeCell ref="C916:U916"/>
    <mergeCell ref="A918:A919"/>
    <mergeCell ref="B918:E918"/>
    <mergeCell ref="F918:K918"/>
    <mergeCell ref="L918:Q918"/>
    <mergeCell ref="R918:U918"/>
    <mergeCell ref="R903:U903"/>
    <mergeCell ref="C905:U905"/>
    <mergeCell ref="C906:U906"/>
    <mergeCell ref="C907:U907"/>
    <mergeCell ref="C908:U908"/>
    <mergeCell ref="C909:U909"/>
    <mergeCell ref="F902:H902"/>
    <mergeCell ref="I902:K902"/>
    <mergeCell ref="L902:N902"/>
    <mergeCell ref="O902:Q902"/>
    <mergeCell ref="R902:U902"/>
    <mergeCell ref="B903:E903"/>
    <mergeCell ref="F903:H903"/>
    <mergeCell ref="I903:K903"/>
    <mergeCell ref="L903:N903"/>
    <mergeCell ref="O903:Q903"/>
    <mergeCell ref="C896:U896"/>
    <mergeCell ref="C897:U897"/>
    <mergeCell ref="C898:U898"/>
    <mergeCell ref="C899:U899"/>
    <mergeCell ref="A901:A902"/>
    <mergeCell ref="B901:E901"/>
    <mergeCell ref="F901:K901"/>
    <mergeCell ref="L901:Q901"/>
    <mergeCell ref="R901:U901"/>
    <mergeCell ref="B902:E902"/>
    <mergeCell ref="C890:U890"/>
    <mergeCell ref="C891:U891"/>
    <mergeCell ref="C892:U892"/>
    <mergeCell ref="C893:U893"/>
    <mergeCell ref="C894:U894"/>
    <mergeCell ref="C895:U895"/>
    <mergeCell ref="B888:E888"/>
    <mergeCell ref="F888:H888"/>
    <mergeCell ref="I888:K888"/>
    <mergeCell ref="L888:N888"/>
    <mergeCell ref="O888:Q888"/>
    <mergeCell ref="R888:U888"/>
    <mergeCell ref="B887:E887"/>
    <mergeCell ref="F887:H887"/>
    <mergeCell ref="I887:K887"/>
    <mergeCell ref="L887:N887"/>
    <mergeCell ref="O887:Q887"/>
    <mergeCell ref="R887:U887"/>
    <mergeCell ref="B881:U881"/>
    <mergeCell ref="B882:U882"/>
    <mergeCell ref="C883:U883"/>
    <mergeCell ref="C884:U884"/>
    <mergeCell ref="C885:U885"/>
    <mergeCell ref="A886:A887"/>
    <mergeCell ref="B886:E886"/>
    <mergeCell ref="F886:K886"/>
    <mergeCell ref="L886:Q886"/>
    <mergeCell ref="R886:U886"/>
    <mergeCell ref="B880:E880"/>
    <mergeCell ref="F880:H880"/>
    <mergeCell ref="I880:K880"/>
    <mergeCell ref="L880:N880"/>
    <mergeCell ref="O880:Q880"/>
    <mergeCell ref="R880:U880"/>
    <mergeCell ref="Y878:AB878"/>
    <mergeCell ref="AC878:AF878"/>
    <mergeCell ref="B879:E879"/>
    <mergeCell ref="F879:H879"/>
    <mergeCell ref="I879:K879"/>
    <mergeCell ref="L879:N879"/>
    <mergeCell ref="O879:Q879"/>
    <mergeCell ref="R879:U879"/>
    <mergeCell ref="A878:A879"/>
    <mergeCell ref="B878:E878"/>
    <mergeCell ref="F878:K878"/>
    <mergeCell ref="L878:Q878"/>
    <mergeCell ref="R878:U878"/>
    <mergeCell ref="V878:X878"/>
    <mergeCell ref="C876:U876"/>
    <mergeCell ref="V876:X876"/>
    <mergeCell ref="Y876:AB876"/>
    <mergeCell ref="AC876:AF876"/>
    <mergeCell ref="V877:X877"/>
    <mergeCell ref="Y877:AB877"/>
    <mergeCell ref="AC877:AF877"/>
    <mergeCell ref="C871:O871"/>
    <mergeCell ref="P871:U871"/>
    <mergeCell ref="B872:O872"/>
    <mergeCell ref="P872:U872"/>
    <mergeCell ref="C874:U874"/>
    <mergeCell ref="C875:U875"/>
    <mergeCell ref="C868:O868"/>
    <mergeCell ref="P868:U868"/>
    <mergeCell ref="C869:O869"/>
    <mergeCell ref="P869:U869"/>
    <mergeCell ref="C870:O870"/>
    <mergeCell ref="P870:U870"/>
    <mergeCell ref="C865:O865"/>
    <mergeCell ref="P865:U865"/>
    <mergeCell ref="C866:O866"/>
    <mergeCell ref="P866:U866"/>
    <mergeCell ref="C867:O867"/>
    <mergeCell ref="P867:U867"/>
    <mergeCell ref="C862:O862"/>
    <mergeCell ref="P862:U862"/>
    <mergeCell ref="C863:O863"/>
    <mergeCell ref="P863:U863"/>
    <mergeCell ref="C864:O864"/>
    <mergeCell ref="P864:U864"/>
    <mergeCell ref="C859:O859"/>
    <mergeCell ref="P859:U859"/>
    <mergeCell ref="C860:O860"/>
    <mergeCell ref="P860:U860"/>
    <mergeCell ref="C861:O861"/>
    <mergeCell ref="P861:U861"/>
    <mergeCell ref="C854:U854"/>
    <mergeCell ref="C855:U855"/>
    <mergeCell ref="C856:U856"/>
    <mergeCell ref="C857:U857"/>
    <mergeCell ref="C858:O858"/>
    <mergeCell ref="P858:U858"/>
    <mergeCell ref="C848:T848"/>
    <mergeCell ref="C849:U849"/>
    <mergeCell ref="C850:U850"/>
    <mergeCell ref="C851:U851"/>
    <mergeCell ref="C852:U852"/>
    <mergeCell ref="C853:U853"/>
    <mergeCell ref="AC846:AF846"/>
    <mergeCell ref="B847:E847"/>
    <mergeCell ref="F847:H847"/>
    <mergeCell ref="I847:K847"/>
    <mergeCell ref="L847:N847"/>
    <mergeCell ref="O847:Q847"/>
    <mergeCell ref="R847:U847"/>
    <mergeCell ref="V847:X847"/>
    <mergeCell ref="Y847:AB847"/>
    <mergeCell ref="AC847:AF847"/>
    <mergeCell ref="Y845:AB845"/>
    <mergeCell ref="AC845:AF845"/>
    <mergeCell ref="B846:E846"/>
    <mergeCell ref="F846:H846"/>
    <mergeCell ref="I846:K846"/>
    <mergeCell ref="L846:N846"/>
    <mergeCell ref="O846:Q846"/>
    <mergeCell ref="R846:U846"/>
    <mergeCell ref="V846:X846"/>
    <mergeCell ref="Y846:AB846"/>
    <mergeCell ref="F845:H845"/>
    <mergeCell ref="I845:K845"/>
    <mergeCell ref="L845:N845"/>
    <mergeCell ref="O845:Q845"/>
    <mergeCell ref="R845:U845"/>
    <mergeCell ref="V845:X845"/>
    <mergeCell ref="B838:U838"/>
    <mergeCell ref="C840:U840"/>
    <mergeCell ref="C841:U841"/>
    <mergeCell ref="C842:U842"/>
    <mergeCell ref="A844:A845"/>
    <mergeCell ref="B844:E844"/>
    <mergeCell ref="F844:K844"/>
    <mergeCell ref="L844:Q844"/>
    <mergeCell ref="R844:U844"/>
    <mergeCell ref="B845:E845"/>
    <mergeCell ref="AC835:AF835"/>
    <mergeCell ref="A836:H836"/>
    <mergeCell ref="I836:M836"/>
    <mergeCell ref="N836:R836"/>
    <mergeCell ref="S836:U836"/>
    <mergeCell ref="V836:X836"/>
    <mergeCell ref="Y836:AB836"/>
    <mergeCell ref="AC836:AF836"/>
    <mergeCell ref="A835:H835"/>
    <mergeCell ref="I835:M835"/>
    <mergeCell ref="N835:R835"/>
    <mergeCell ref="S835:U835"/>
    <mergeCell ref="V835:X835"/>
    <mergeCell ref="Y835:AB835"/>
    <mergeCell ref="AC833:AF833"/>
    <mergeCell ref="A834:H834"/>
    <mergeCell ref="I834:M834"/>
    <mergeCell ref="N834:R834"/>
    <mergeCell ref="S834:U834"/>
    <mergeCell ref="V834:X834"/>
    <mergeCell ref="Y834:AB834"/>
    <mergeCell ref="AC834:AF834"/>
    <mergeCell ref="A833:H833"/>
    <mergeCell ref="I833:M833"/>
    <mergeCell ref="N833:R833"/>
    <mergeCell ref="S833:U833"/>
    <mergeCell ref="V833:X833"/>
    <mergeCell ref="Y833:AB833"/>
    <mergeCell ref="AC831:AF831"/>
    <mergeCell ref="A832:H832"/>
    <mergeCell ref="I832:M832"/>
    <mergeCell ref="N832:R832"/>
    <mergeCell ref="S832:U832"/>
    <mergeCell ref="V832:X832"/>
    <mergeCell ref="Y832:AB832"/>
    <mergeCell ref="AC832:AF832"/>
    <mergeCell ref="A831:H831"/>
    <mergeCell ref="I831:M831"/>
    <mergeCell ref="N831:R831"/>
    <mergeCell ref="S831:U831"/>
    <mergeCell ref="V831:X831"/>
    <mergeCell ref="Y831:AB831"/>
    <mergeCell ref="V829:X829"/>
    <mergeCell ref="Y829:AB829"/>
    <mergeCell ref="AC829:AF829"/>
    <mergeCell ref="A830:H830"/>
    <mergeCell ref="I830:M830"/>
    <mergeCell ref="N830:R830"/>
    <mergeCell ref="S830:U830"/>
    <mergeCell ref="V830:X830"/>
    <mergeCell ref="Y830:AB830"/>
    <mergeCell ref="AC830:AF830"/>
    <mergeCell ref="C824:U824"/>
    <mergeCell ref="C826:U826"/>
    <mergeCell ref="B828:U828"/>
    <mergeCell ref="A829:H829"/>
    <mergeCell ref="I829:M829"/>
    <mergeCell ref="N829:R829"/>
    <mergeCell ref="S829:U829"/>
    <mergeCell ref="C820:E820"/>
    <mergeCell ref="F820:I820"/>
    <mergeCell ref="J820:M820"/>
    <mergeCell ref="N820:Q820"/>
    <mergeCell ref="R820:U820"/>
    <mergeCell ref="C821:E821"/>
    <mergeCell ref="F821:I821"/>
    <mergeCell ref="J821:M821"/>
    <mergeCell ref="N821:Q821"/>
    <mergeCell ref="R821:U821"/>
    <mergeCell ref="J818:M818"/>
    <mergeCell ref="N818:Q818"/>
    <mergeCell ref="R818:U818"/>
    <mergeCell ref="C819:E819"/>
    <mergeCell ref="F819:I819"/>
    <mergeCell ref="J819:M819"/>
    <mergeCell ref="N819:Q819"/>
    <mergeCell ref="R819:U819"/>
    <mergeCell ref="Y812:AB812"/>
    <mergeCell ref="AC812:AF812"/>
    <mergeCell ref="C814:U814"/>
    <mergeCell ref="D815:U815"/>
    <mergeCell ref="B817:B818"/>
    <mergeCell ref="C817:E818"/>
    <mergeCell ref="F817:I817"/>
    <mergeCell ref="J817:Q817"/>
    <mergeCell ref="R817:U817"/>
    <mergeCell ref="F818:I818"/>
    <mergeCell ref="C812:E812"/>
    <mergeCell ref="F812:I812"/>
    <mergeCell ref="J812:M812"/>
    <mergeCell ref="N812:Q812"/>
    <mergeCell ref="R812:U812"/>
    <mergeCell ref="V812:X812"/>
    <mergeCell ref="AC810:AF810"/>
    <mergeCell ref="C811:E811"/>
    <mergeCell ref="F811:I811"/>
    <mergeCell ref="J811:M811"/>
    <mergeCell ref="N811:Q811"/>
    <mergeCell ref="R811:U811"/>
    <mergeCell ref="V811:X811"/>
    <mergeCell ref="Y811:AB811"/>
    <mergeCell ref="AC811:AF811"/>
    <mergeCell ref="C810:E810"/>
    <mergeCell ref="F810:I810"/>
    <mergeCell ref="J810:M810"/>
    <mergeCell ref="N810:Q810"/>
    <mergeCell ref="R810:U810"/>
    <mergeCell ref="V810:X810"/>
    <mergeCell ref="Y808:AB808"/>
    <mergeCell ref="AC808:AF808"/>
    <mergeCell ref="C809:E809"/>
    <mergeCell ref="F809:I809"/>
    <mergeCell ref="J809:M809"/>
    <mergeCell ref="N809:Q809"/>
    <mergeCell ref="R809:U809"/>
    <mergeCell ref="V809:X809"/>
    <mergeCell ref="Y809:AB809"/>
    <mergeCell ref="AC809:AF809"/>
    <mergeCell ref="R807:U807"/>
    <mergeCell ref="V807:X807"/>
    <mergeCell ref="Y807:AB807"/>
    <mergeCell ref="AC807:AF807"/>
    <mergeCell ref="C808:E808"/>
    <mergeCell ref="F808:I808"/>
    <mergeCell ref="J808:M808"/>
    <mergeCell ref="N808:Q808"/>
    <mergeCell ref="R808:U808"/>
    <mergeCell ref="V808:X808"/>
    <mergeCell ref="C803:U803"/>
    <mergeCell ref="D804:U804"/>
    <mergeCell ref="B806:B807"/>
    <mergeCell ref="C806:E807"/>
    <mergeCell ref="F806:I806"/>
    <mergeCell ref="J806:Q806"/>
    <mergeCell ref="R806:U806"/>
    <mergeCell ref="F807:I807"/>
    <mergeCell ref="J807:M807"/>
    <mergeCell ref="N807:Q807"/>
    <mergeCell ref="C800:E800"/>
    <mergeCell ref="F800:I800"/>
    <mergeCell ref="J800:M800"/>
    <mergeCell ref="N800:Q800"/>
    <mergeCell ref="R800:U800"/>
    <mergeCell ref="C801:E801"/>
    <mergeCell ref="F801:I801"/>
    <mergeCell ref="J801:M801"/>
    <mergeCell ref="N801:Q801"/>
    <mergeCell ref="R801:U801"/>
    <mergeCell ref="C798:E798"/>
    <mergeCell ref="F798:I798"/>
    <mergeCell ref="J798:M798"/>
    <mergeCell ref="N798:Q798"/>
    <mergeCell ref="R798:U798"/>
    <mergeCell ref="C799:E799"/>
    <mergeCell ref="F799:I799"/>
    <mergeCell ref="J799:M799"/>
    <mergeCell ref="N799:Q799"/>
    <mergeCell ref="R799:U799"/>
    <mergeCell ref="C796:E796"/>
    <mergeCell ref="F796:I796"/>
    <mergeCell ref="J796:M796"/>
    <mergeCell ref="N796:Q796"/>
    <mergeCell ref="R796:U796"/>
    <mergeCell ref="C797:E797"/>
    <mergeCell ref="F797:I797"/>
    <mergeCell ref="J797:M797"/>
    <mergeCell ref="N797:Q797"/>
    <mergeCell ref="R797:U797"/>
    <mergeCell ref="F794:I794"/>
    <mergeCell ref="J794:M794"/>
    <mergeCell ref="N794:Q794"/>
    <mergeCell ref="R794:U794"/>
    <mergeCell ref="C795:E795"/>
    <mergeCell ref="F795:I795"/>
    <mergeCell ref="J795:M795"/>
    <mergeCell ref="N795:Q795"/>
    <mergeCell ref="R795:U795"/>
    <mergeCell ref="AC786:AF786"/>
    <mergeCell ref="C788:U788"/>
    <mergeCell ref="C789:U789"/>
    <mergeCell ref="C790:U790"/>
    <mergeCell ref="D791:U791"/>
    <mergeCell ref="B793:B794"/>
    <mergeCell ref="C793:E794"/>
    <mergeCell ref="F793:I793"/>
    <mergeCell ref="J793:Q793"/>
    <mergeCell ref="R793:U793"/>
    <mergeCell ref="B786:H786"/>
    <mergeCell ref="I786:M786"/>
    <mergeCell ref="N786:R786"/>
    <mergeCell ref="S786:U786"/>
    <mergeCell ref="V786:X786"/>
    <mergeCell ref="Y786:AB786"/>
    <mergeCell ref="AC784:AF784"/>
    <mergeCell ref="B785:H785"/>
    <mergeCell ref="I785:M785"/>
    <mergeCell ref="N785:R785"/>
    <mergeCell ref="S785:U785"/>
    <mergeCell ref="V785:X785"/>
    <mergeCell ref="Y785:AB785"/>
    <mergeCell ref="AC785:AF785"/>
    <mergeCell ref="B784:H784"/>
    <mergeCell ref="I784:M784"/>
    <mergeCell ref="N784:R784"/>
    <mergeCell ref="S784:U784"/>
    <mergeCell ref="V784:X784"/>
    <mergeCell ref="Y784:AB784"/>
    <mergeCell ref="V782:X782"/>
    <mergeCell ref="Y782:AB782"/>
    <mergeCell ref="AC782:AF782"/>
    <mergeCell ref="B783:H783"/>
    <mergeCell ref="I783:M783"/>
    <mergeCell ref="N783:R783"/>
    <mergeCell ref="S783:U783"/>
    <mergeCell ref="V783:X783"/>
    <mergeCell ref="Y783:AB783"/>
    <mergeCell ref="AC783:AF783"/>
    <mergeCell ref="C777:U777"/>
    <mergeCell ref="C778:U778"/>
    <mergeCell ref="C779:U779"/>
    <mergeCell ref="B781:U781"/>
    <mergeCell ref="B782:H782"/>
    <mergeCell ref="I782:M782"/>
    <mergeCell ref="N782:R782"/>
    <mergeCell ref="S782:U782"/>
    <mergeCell ref="I775:M775"/>
    <mergeCell ref="N775:R775"/>
    <mergeCell ref="S775:U775"/>
    <mergeCell ref="V775:X775"/>
    <mergeCell ref="Y775:AB775"/>
    <mergeCell ref="AC775:AF775"/>
    <mergeCell ref="AC773:AF773"/>
    <mergeCell ref="B774:H774"/>
    <mergeCell ref="I774:M774"/>
    <mergeCell ref="N774:R774"/>
    <mergeCell ref="S774:U774"/>
    <mergeCell ref="V774:X774"/>
    <mergeCell ref="Y774:AB774"/>
    <mergeCell ref="AC774:AF774"/>
    <mergeCell ref="B773:H773"/>
    <mergeCell ref="I773:M773"/>
    <mergeCell ref="N773:R773"/>
    <mergeCell ref="S773:U773"/>
    <mergeCell ref="V773:X773"/>
    <mergeCell ref="Y773:AB773"/>
    <mergeCell ref="AC771:AF771"/>
    <mergeCell ref="B772:H772"/>
    <mergeCell ref="I772:M772"/>
    <mergeCell ref="N772:R772"/>
    <mergeCell ref="S772:U772"/>
    <mergeCell ref="V772:X772"/>
    <mergeCell ref="Y772:AB772"/>
    <mergeCell ref="AC772:AF772"/>
    <mergeCell ref="B771:H771"/>
    <mergeCell ref="I771:M771"/>
    <mergeCell ref="N771:R771"/>
    <mergeCell ref="S771:U771"/>
    <mergeCell ref="V771:X771"/>
    <mergeCell ref="Y771:AB771"/>
    <mergeCell ref="V769:X769"/>
    <mergeCell ref="Y769:AB769"/>
    <mergeCell ref="AC769:AF769"/>
    <mergeCell ref="B770:H770"/>
    <mergeCell ref="I770:M770"/>
    <mergeCell ref="N770:R770"/>
    <mergeCell ref="S770:U770"/>
    <mergeCell ref="V770:X770"/>
    <mergeCell ref="Y770:AB770"/>
    <mergeCell ref="AC770:AF770"/>
    <mergeCell ref="C764:U764"/>
    <mergeCell ref="D765:U765"/>
    <mergeCell ref="D766:U766"/>
    <mergeCell ref="B768:U768"/>
    <mergeCell ref="B769:H769"/>
    <mergeCell ref="I769:M769"/>
    <mergeCell ref="N769:R769"/>
    <mergeCell ref="S769:U769"/>
    <mergeCell ref="E760:M760"/>
    <mergeCell ref="O760:S760"/>
    <mergeCell ref="E761:M761"/>
    <mergeCell ref="O761:S761"/>
    <mergeCell ref="E762:M762"/>
    <mergeCell ref="O762:S762"/>
    <mergeCell ref="B756:I756"/>
    <mergeCell ref="J756:M756"/>
    <mergeCell ref="N756:Q756"/>
    <mergeCell ref="R756:U756"/>
    <mergeCell ref="D758:U758"/>
    <mergeCell ref="E759:M759"/>
    <mergeCell ref="O759:S759"/>
    <mergeCell ref="B754:I754"/>
    <mergeCell ref="J754:M754"/>
    <mergeCell ref="N754:Q754"/>
    <mergeCell ref="R754:U754"/>
    <mergeCell ref="B755:I755"/>
    <mergeCell ref="J755:M755"/>
    <mergeCell ref="N755:Q755"/>
    <mergeCell ref="R755:U755"/>
    <mergeCell ref="B752:I752"/>
    <mergeCell ref="J752:M752"/>
    <mergeCell ref="N752:Q752"/>
    <mergeCell ref="R752:U752"/>
    <mergeCell ref="B753:I753"/>
    <mergeCell ref="J753:M753"/>
    <mergeCell ref="N753:Q753"/>
    <mergeCell ref="R753:U753"/>
    <mergeCell ref="B750:I750"/>
    <mergeCell ref="J750:M750"/>
    <mergeCell ref="N750:Q750"/>
    <mergeCell ref="R750:U750"/>
    <mergeCell ref="B751:I751"/>
    <mergeCell ref="J751:M751"/>
    <mergeCell ref="N751:Q751"/>
    <mergeCell ref="R751:U751"/>
    <mergeCell ref="B748:I748"/>
    <mergeCell ref="J748:M748"/>
    <mergeCell ref="N748:Q748"/>
    <mergeCell ref="R748:U748"/>
    <mergeCell ref="B749:I749"/>
    <mergeCell ref="J749:M749"/>
    <mergeCell ref="N749:Q749"/>
    <mergeCell ref="R749:U749"/>
    <mergeCell ref="B746:I746"/>
    <mergeCell ref="J746:M746"/>
    <mergeCell ref="N746:Q746"/>
    <mergeCell ref="R746:U746"/>
    <mergeCell ref="B747:I747"/>
    <mergeCell ref="J747:M747"/>
    <mergeCell ref="N747:Q747"/>
    <mergeCell ref="R747:U747"/>
    <mergeCell ref="B744:I744"/>
    <mergeCell ref="J744:M744"/>
    <mergeCell ref="N744:Q744"/>
    <mergeCell ref="R744:U744"/>
    <mergeCell ref="B745:I745"/>
    <mergeCell ref="J745:M745"/>
    <mergeCell ref="N745:Q745"/>
    <mergeCell ref="R745:U745"/>
    <mergeCell ref="B742:I742"/>
    <mergeCell ref="J742:M742"/>
    <mergeCell ref="N742:Q742"/>
    <mergeCell ref="R742:U742"/>
    <mergeCell ref="B743:I743"/>
    <mergeCell ref="J743:M743"/>
    <mergeCell ref="N743:Q743"/>
    <mergeCell ref="R743:U743"/>
    <mergeCell ref="B740:I740"/>
    <mergeCell ref="J740:M740"/>
    <mergeCell ref="N740:Q740"/>
    <mergeCell ref="R740:U740"/>
    <mergeCell ref="B741:I741"/>
    <mergeCell ref="J741:M741"/>
    <mergeCell ref="N741:Q741"/>
    <mergeCell ref="R741:U741"/>
    <mergeCell ref="B738:I738"/>
    <mergeCell ref="J738:M738"/>
    <mergeCell ref="N738:Q738"/>
    <mergeCell ref="R738:U738"/>
    <mergeCell ref="B739:I739"/>
    <mergeCell ref="J739:M739"/>
    <mergeCell ref="N739:Q739"/>
    <mergeCell ref="R739:U739"/>
    <mergeCell ref="D734:U734"/>
    <mergeCell ref="B736:U736"/>
    <mergeCell ref="B737:I737"/>
    <mergeCell ref="J737:M737"/>
    <mergeCell ref="N737:Q737"/>
    <mergeCell ref="R737:U737"/>
    <mergeCell ref="C731:E731"/>
    <mergeCell ref="F731:I731"/>
    <mergeCell ref="J731:M731"/>
    <mergeCell ref="N731:Q731"/>
    <mergeCell ref="R731:U731"/>
    <mergeCell ref="C733:U733"/>
    <mergeCell ref="C729:E729"/>
    <mergeCell ref="F729:I729"/>
    <mergeCell ref="J729:M729"/>
    <mergeCell ref="N729:Q729"/>
    <mergeCell ref="R729:U729"/>
    <mergeCell ref="C730:E730"/>
    <mergeCell ref="F730:I730"/>
    <mergeCell ref="J730:M730"/>
    <mergeCell ref="N730:Q730"/>
    <mergeCell ref="R730:U730"/>
    <mergeCell ref="B727:B728"/>
    <mergeCell ref="C727:E728"/>
    <mergeCell ref="F727:I727"/>
    <mergeCell ref="J727:Q727"/>
    <mergeCell ref="R727:U727"/>
    <mergeCell ref="F728:I728"/>
    <mergeCell ref="J728:M728"/>
    <mergeCell ref="N728:Q728"/>
    <mergeCell ref="R728:U728"/>
    <mergeCell ref="D721:U721"/>
    <mergeCell ref="E722:U722"/>
    <mergeCell ref="E723:U723"/>
    <mergeCell ref="D724:U724"/>
    <mergeCell ref="W724:X724"/>
    <mergeCell ref="D725:U725"/>
    <mergeCell ref="C718:E718"/>
    <mergeCell ref="F718:I718"/>
    <mergeCell ref="J718:M718"/>
    <mergeCell ref="N718:Q718"/>
    <mergeCell ref="R718:U718"/>
    <mergeCell ref="C719:E719"/>
    <mergeCell ref="F719:I719"/>
    <mergeCell ref="J719:M719"/>
    <mergeCell ref="N719:Q719"/>
    <mergeCell ref="R719:U719"/>
    <mergeCell ref="N716:Q716"/>
    <mergeCell ref="R716:U716"/>
    <mergeCell ref="C717:E717"/>
    <mergeCell ref="F717:I717"/>
    <mergeCell ref="J717:M717"/>
    <mergeCell ref="N717:Q717"/>
    <mergeCell ref="R717:U717"/>
    <mergeCell ref="D710:U710"/>
    <mergeCell ref="D712:U712"/>
    <mergeCell ref="D713:U713"/>
    <mergeCell ref="B715:B716"/>
    <mergeCell ref="C715:E716"/>
    <mergeCell ref="F715:I715"/>
    <mergeCell ref="J715:Q715"/>
    <mergeCell ref="R715:U715"/>
    <mergeCell ref="F716:I716"/>
    <mergeCell ref="J716:M716"/>
    <mergeCell ref="C707:E707"/>
    <mergeCell ref="F707:I707"/>
    <mergeCell ref="J707:M707"/>
    <mergeCell ref="N707:Q707"/>
    <mergeCell ref="R707:U707"/>
    <mergeCell ref="B708:E708"/>
    <mergeCell ref="F708:I708"/>
    <mergeCell ref="J708:M708"/>
    <mergeCell ref="N708:Q708"/>
    <mergeCell ref="R708:U708"/>
    <mergeCell ref="C705:E705"/>
    <mergeCell ref="F705:I705"/>
    <mergeCell ref="J705:M705"/>
    <mergeCell ref="N705:Q705"/>
    <mergeCell ref="R705:U705"/>
    <mergeCell ref="C706:E706"/>
    <mergeCell ref="F706:I706"/>
    <mergeCell ref="J706:M706"/>
    <mergeCell ref="N706:Q706"/>
    <mergeCell ref="R706:U706"/>
    <mergeCell ref="D702:U702"/>
    <mergeCell ref="B703:B704"/>
    <mergeCell ref="C703:E704"/>
    <mergeCell ref="F703:I703"/>
    <mergeCell ref="J703:Q703"/>
    <mergeCell ref="R703:U703"/>
    <mergeCell ref="F704:I704"/>
    <mergeCell ref="J704:M704"/>
    <mergeCell ref="N704:Q704"/>
    <mergeCell ref="R704:U704"/>
    <mergeCell ref="B699:E699"/>
    <mergeCell ref="F699:I699"/>
    <mergeCell ref="J699:M699"/>
    <mergeCell ref="N699:Q699"/>
    <mergeCell ref="R699:U699"/>
    <mergeCell ref="D701:U701"/>
    <mergeCell ref="C697:E697"/>
    <mergeCell ref="F697:I697"/>
    <mergeCell ref="J697:M697"/>
    <mergeCell ref="N697:Q697"/>
    <mergeCell ref="R697:U697"/>
    <mergeCell ref="C698:E698"/>
    <mergeCell ref="F698:I698"/>
    <mergeCell ref="J698:M698"/>
    <mergeCell ref="N698:Q698"/>
    <mergeCell ref="R698:U698"/>
    <mergeCell ref="C695:E695"/>
    <mergeCell ref="F695:I695"/>
    <mergeCell ref="J695:M695"/>
    <mergeCell ref="N695:Q695"/>
    <mergeCell ref="R695:U695"/>
    <mergeCell ref="C696:E696"/>
    <mergeCell ref="F696:I696"/>
    <mergeCell ref="J696:M696"/>
    <mergeCell ref="N696:Q696"/>
    <mergeCell ref="R696:U696"/>
    <mergeCell ref="C693:E693"/>
    <mergeCell ref="F693:I693"/>
    <mergeCell ref="J693:M693"/>
    <mergeCell ref="N693:Q693"/>
    <mergeCell ref="R693:U693"/>
    <mergeCell ref="C694:E694"/>
    <mergeCell ref="F694:I694"/>
    <mergeCell ref="J694:M694"/>
    <mergeCell ref="N694:Q694"/>
    <mergeCell ref="R694:U694"/>
    <mergeCell ref="N691:Q691"/>
    <mergeCell ref="R691:U691"/>
    <mergeCell ref="C692:E692"/>
    <mergeCell ref="F692:I692"/>
    <mergeCell ref="J692:M692"/>
    <mergeCell ref="N692:Q692"/>
    <mergeCell ref="R692:U692"/>
    <mergeCell ref="C687:U687"/>
    <mergeCell ref="D688:U688"/>
    <mergeCell ref="D689:U689"/>
    <mergeCell ref="B690:B691"/>
    <mergeCell ref="C690:E691"/>
    <mergeCell ref="F690:I690"/>
    <mergeCell ref="J690:Q690"/>
    <mergeCell ref="R690:U690"/>
    <mergeCell ref="F691:I691"/>
    <mergeCell ref="J691:M691"/>
    <mergeCell ref="B684:I684"/>
    <mergeCell ref="J684:N684"/>
    <mergeCell ref="O684:S684"/>
    <mergeCell ref="T684:U684"/>
    <mergeCell ref="B685:I685"/>
    <mergeCell ref="J685:N685"/>
    <mergeCell ref="O685:S685"/>
    <mergeCell ref="T685:U685"/>
    <mergeCell ref="B682:I682"/>
    <mergeCell ref="J682:N682"/>
    <mergeCell ref="O682:S682"/>
    <mergeCell ref="T682:U682"/>
    <mergeCell ref="B683:I683"/>
    <mergeCell ref="J683:N683"/>
    <mergeCell ref="O683:S683"/>
    <mergeCell ref="T683:U683"/>
    <mergeCell ref="B680:I680"/>
    <mergeCell ref="J680:N680"/>
    <mergeCell ref="O680:S680"/>
    <mergeCell ref="T680:U680"/>
    <mergeCell ref="B681:I681"/>
    <mergeCell ref="J681:N681"/>
    <mergeCell ref="O681:S681"/>
    <mergeCell ref="T681:U681"/>
    <mergeCell ref="C674:U674"/>
    <mergeCell ref="C675:U675"/>
    <mergeCell ref="C676:U676"/>
    <mergeCell ref="B678:U678"/>
    <mergeCell ref="B679:I679"/>
    <mergeCell ref="J679:N679"/>
    <mergeCell ref="O679:S679"/>
    <mergeCell ref="T679:U679"/>
    <mergeCell ref="B670:I670"/>
    <mergeCell ref="J670:N670"/>
    <mergeCell ref="O670:S670"/>
    <mergeCell ref="T670:U670"/>
    <mergeCell ref="C672:U672"/>
    <mergeCell ref="D673:U673"/>
    <mergeCell ref="A668:A669"/>
    <mergeCell ref="B668:I668"/>
    <mergeCell ref="J668:N668"/>
    <mergeCell ref="O668:S668"/>
    <mergeCell ref="T668:U668"/>
    <mergeCell ref="B669:I669"/>
    <mergeCell ref="J669:N669"/>
    <mergeCell ref="O669:S669"/>
    <mergeCell ref="T669:U669"/>
    <mergeCell ref="D662:U662"/>
    <mergeCell ref="D663:U663"/>
    <mergeCell ref="D664:U664"/>
    <mergeCell ref="B666:U666"/>
    <mergeCell ref="B667:I667"/>
    <mergeCell ref="J667:N667"/>
    <mergeCell ref="O667:S667"/>
    <mergeCell ref="T667:U667"/>
    <mergeCell ref="B659:K659"/>
    <mergeCell ref="L659:P659"/>
    <mergeCell ref="Q659:U659"/>
    <mergeCell ref="B660:K660"/>
    <mergeCell ref="L660:P660"/>
    <mergeCell ref="Q660:U660"/>
    <mergeCell ref="D653:U653"/>
    <mergeCell ref="B656:U656"/>
    <mergeCell ref="B657:K657"/>
    <mergeCell ref="L657:P657"/>
    <mergeCell ref="Q657:U657"/>
    <mergeCell ref="B658:K658"/>
    <mergeCell ref="L658:P658"/>
    <mergeCell ref="Q658:U658"/>
    <mergeCell ref="B649:I649"/>
    <mergeCell ref="J649:N649"/>
    <mergeCell ref="O649:S649"/>
    <mergeCell ref="T649:U649"/>
    <mergeCell ref="D651:U651"/>
    <mergeCell ref="D652:U652"/>
    <mergeCell ref="B647:I647"/>
    <mergeCell ref="J647:N647"/>
    <mergeCell ref="O647:S647"/>
    <mergeCell ref="T647:U647"/>
    <mergeCell ref="B648:I648"/>
    <mergeCell ref="J648:N648"/>
    <mergeCell ref="O648:S648"/>
    <mergeCell ref="T648:U648"/>
    <mergeCell ref="D641:U641"/>
    <mergeCell ref="D642:U642"/>
    <mergeCell ref="D643:U643"/>
    <mergeCell ref="B645:U645"/>
    <mergeCell ref="B646:I646"/>
    <mergeCell ref="J646:N646"/>
    <mergeCell ref="O646:S646"/>
    <mergeCell ref="T646:U646"/>
    <mergeCell ref="C638:I638"/>
    <mergeCell ref="J638:N638"/>
    <mergeCell ref="O638:S638"/>
    <mergeCell ref="T638:U638"/>
    <mergeCell ref="B639:I639"/>
    <mergeCell ref="J639:N639"/>
    <mergeCell ref="O639:S639"/>
    <mergeCell ref="T639:U639"/>
    <mergeCell ref="A636:A637"/>
    <mergeCell ref="C636:I636"/>
    <mergeCell ref="J636:N636"/>
    <mergeCell ref="O636:S636"/>
    <mergeCell ref="T636:U636"/>
    <mergeCell ref="C637:I637"/>
    <mergeCell ref="J637:N637"/>
    <mergeCell ref="O637:S637"/>
    <mergeCell ref="T637:U637"/>
    <mergeCell ref="D632:U632"/>
    <mergeCell ref="C634:I634"/>
    <mergeCell ref="J634:N634"/>
    <mergeCell ref="O634:S634"/>
    <mergeCell ref="T634:U634"/>
    <mergeCell ref="C635:I635"/>
    <mergeCell ref="J635:N635"/>
    <mergeCell ref="O635:S635"/>
    <mergeCell ref="T635:U635"/>
    <mergeCell ref="C628:D628"/>
    <mergeCell ref="E628:K628"/>
    <mergeCell ref="O628:T628"/>
    <mergeCell ref="C629:K629"/>
    <mergeCell ref="O629:T629"/>
    <mergeCell ref="D631:T631"/>
    <mergeCell ref="C626:D626"/>
    <mergeCell ref="E626:K626"/>
    <mergeCell ref="O626:T626"/>
    <mergeCell ref="C627:D627"/>
    <mergeCell ref="E627:K627"/>
    <mergeCell ref="O627:T627"/>
    <mergeCell ref="C624:D624"/>
    <mergeCell ref="E624:K624"/>
    <mergeCell ref="O624:T624"/>
    <mergeCell ref="C625:D625"/>
    <mergeCell ref="E625:K625"/>
    <mergeCell ref="O625:T625"/>
    <mergeCell ref="C618:U618"/>
    <mergeCell ref="A619:A621"/>
    <mergeCell ref="C619:U619"/>
    <mergeCell ref="C622:U622"/>
    <mergeCell ref="C623:D623"/>
    <mergeCell ref="E623:K623"/>
    <mergeCell ref="O623:T623"/>
    <mergeCell ref="B615:H615"/>
    <mergeCell ref="I615:M615"/>
    <mergeCell ref="N615:S615"/>
    <mergeCell ref="T615:U615"/>
    <mergeCell ref="B616:H616"/>
    <mergeCell ref="I616:M616"/>
    <mergeCell ref="N616:S616"/>
    <mergeCell ref="T616:U616"/>
    <mergeCell ref="B613:H613"/>
    <mergeCell ref="I613:M613"/>
    <mergeCell ref="N613:S613"/>
    <mergeCell ref="T613:U613"/>
    <mergeCell ref="B614:H614"/>
    <mergeCell ref="I614:M614"/>
    <mergeCell ref="N614:S614"/>
    <mergeCell ref="T614:U614"/>
    <mergeCell ref="C609:U609"/>
    <mergeCell ref="C610:U610"/>
    <mergeCell ref="B612:H612"/>
    <mergeCell ref="I612:M612"/>
    <mergeCell ref="N612:S612"/>
    <mergeCell ref="T612:U612"/>
    <mergeCell ref="Y606:AB606"/>
    <mergeCell ref="AC606:AF606"/>
    <mergeCell ref="A607:D607"/>
    <mergeCell ref="E607:I607"/>
    <mergeCell ref="J607:N607"/>
    <mergeCell ref="O607:S607"/>
    <mergeCell ref="T607:U607"/>
    <mergeCell ref="V607:X607"/>
    <mergeCell ref="Y607:AB607"/>
    <mergeCell ref="AC607:AF607"/>
    <mergeCell ref="A606:D606"/>
    <mergeCell ref="E606:I606"/>
    <mergeCell ref="J606:N606"/>
    <mergeCell ref="O606:S606"/>
    <mergeCell ref="T606:U606"/>
    <mergeCell ref="V606:X606"/>
    <mergeCell ref="AC604:AF604"/>
    <mergeCell ref="A605:D605"/>
    <mergeCell ref="E605:I605"/>
    <mergeCell ref="J605:N605"/>
    <mergeCell ref="O605:S605"/>
    <mergeCell ref="T605:U605"/>
    <mergeCell ref="V605:X605"/>
    <mergeCell ref="Y605:AB605"/>
    <mergeCell ref="AC605:AF605"/>
    <mergeCell ref="V603:X603"/>
    <mergeCell ref="Y603:AB603"/>
    <mergeCell ref="AC603:AF603"/>
    <mergeCell ref="A604:D604"/>
    <mergeCell ref="E604:I604"/>
    <mergeCell ref="J604:N604"/>
    <mergeCell ref="O604:S604"/>
    <mergeCell ref="T604:U604"/>
    <mergeCell ref="V604:X604"/>
    <mergeCell ref="Y604:AB604"/>
    <mergeCell ref="V599:X599"/>
    <mergeCell ref="Y599:AB599"/>
    <mergeCell ref="AC599:AF599"/>
    <mergeCell ref="E601:U601"/>
    <mergeCell ref="B602:U602"/>
    <mergeCell ref="A603:D603"/>
    <mergeCell ref="E603:I603"/>
    <mergeCell ref="J603:N603"/>
    <mergeCell ref="O603:S603"/>
    <mergeCell ref="T603:U603"/>
    <mergeCell ref="Y597:AB597"/>
    <mergeCell ref="AC597:AF597"/>
    <mergeCell ref="A598:D598"/>
    <mergeCell ref="E598:I598"/>
    <mergeCell ref="J598:N598"/>
    <mergeCell ref="O598:S598"/>
    <mergeCell ref="T598:U598"/>
    <mergeCell ref="V598:X598"/>
    <mergeCell ref="Y598:AB598"/>
    <mergeCell ref="AC598:AF598"/>
    <mergeCell ref="A597:D597"/>
    <mergeCell ref="E597:I597"/>
    <mergeCell ref="J597:N597"/>
    <mergeCell ref="O597:S597"/>
    <mergeCell ref="T597:U597"/>
    <mergeCell ref="V597:X597"/>
    <mergeCell ref="AC595:AF595"/>
    <mergeCell ref="A596:D596"/>
    <mergeCell ref="E596:I596"/>
    <mergeCell ref="J596:N596"/>
    <mergeCell ref="O596:S596"/>
    <mergeCell ref="T596:U596"/>
    <mergeCell ref="V596:X596"/>
    <mergeCell ref="Y596:AB596"/>
    <mergeCell ref="AC596:AF596"/>
    <mergeCell ref="V594:X594"/>
    <mergeCell ref="Y594:AB594"/>
    <mergeCell ref="AC594:AF594"/>
    <mergeCell ref="A595:D595"/>
    <mergeCell ref="E595:I595"/>
    <mergeCell ref="J595:N595"/>
    <mergeCell ref="O595:S595"/>
    <mergeCell ref="T595:U595"/>
    <mergeCell ref="V595:X595"/>
    <mergeCell ref="Y595:AB595"/>
    <mergeCell ref="D589:U589"/>
    <mergeCell ref="E592:U592"/>
    <mergeCell ref="B593:U593"/>
    <mergeCell ref="A594:D594"/>
    <mergeCell ref="E594:I594"/>
    <mergeCell ref="J594:N594"/>
    <mergeCell ref="O594:S594"/>
    <mergeCell ref="T594:U594"/>
    <mergeCell ref="Y586:AB586"/>
    <mergeCell ref="AC586:AF586"/>
    <mergeCell ref="A587:C587"/>
    <mergeCell ref="D587:I587"/>
    <mergeCell ref="J587:N587"/>
    <mergeCell ref="O587:S587"/>
    <mergeCell ref="T587:U587"/>
    <mergeCell ref="V587:X587"/>
    <mergeCell ref="Y587:AB587"/>
    <mergeCell ref="AC587:AF587"/>
    <mergeCell ref="A586:C586"/>
    <mergeCell ref="D586:I586"/>
    <mergeCell ref="J586:N586"/>
    <mergeCell ref="O586:S586"/>
    <mergeCell ref="T586:U586"/>
    <mergeCell ref="V586:X586"/>
    <mergeCell ref="Y584:AB584"/>
    <mergeCell ref="AC584:AF584"/>
    <mergeCell ref="A585:C585"/>
    <mergeCell ref="D585:I585"/>
    <mergeCell ref="J585:N585"/>
    <mergeCell ref="O585:S585"/>
    <mergeCell ref="T585:U585"/>
    <mergeCell ref="V585:X585"/>
    <mergeCell ref="Y585:AB585"/>
    <mergeCell ref="AC585:AF585"/>
    <mergeCell ref="A584:C584"/>
    <mergeCell ref="D584:I584"/>
    <mergeCell ref="J584:N584"/>
    <mergeCell ref="O584:S584"/>
    <mergeCell ref="T584:U584"/>
    <mergeCell ref="V584:X584"/>
    <mergeCell ref="Y582:AB582"/>
    <mergeCell ref="AC582:AF582"/>
    <mergeCell ref="A583:C583"/>
    <mergeCell ref="D583:I583"/>
    <mergeCell ref="J583:N583"/>
    <mergeCell ref="O583:S583"/>
    <mergeCell ref="T583:U583"/>
    <mergeCell ref="V583:X583"/>
    <mergeCell ref="Y583:AB583"/>
    <mergeCell ref="AC583:AF583"/>
    <mergeCell ref="Y577:AB577"/>
    <mergeCell ref="AC577:AF577"/>
    <mergeCell ref="E580:U580"/>
    <mergeCell ref="E581:U581"/>
    <mergeCell ref="A582:C582"/>
    <mergeCell ref="D582:I582"/>
    <mergeCell ref="J582:N582"/>
    <mergeCell ref="O582:S582"/>
    <mergeCell ref="T582:U582"/>
    <mergeCell ref="V582:X582"/>
    <mergeCell ref="A577:D577"/>
    <mergeCell ref="E577:I577"/>
    <mergeCell ref="J577:N577"/>
    <mergeCell ref="O577:S577"/>
    <mergeCell ref="T577:U577"/>
    <mergeCell ref="V577:X577"/>
    <mergeCell ref="AC575:AF575"/>
    <mergeCell ref="A576:D576"/>
    <mergeCell ref="E576:I576"/>
    <mergeCell ref="J576:N576"/>
    <mergeCell ref="O576:S576"/>
    <mergeCell ref="T576:U576"/>
    <mergeCell ref="V576:X576"/>
    <mergeCell ref="Y576:AB576"/>
    <mergeCell ref="AC576:AF576"/>
    <mergeCell ref="V574:X574"/>
    <mergeCell ref="Y574:AB574"/>
    <mergeCell ref="AC574:AF574"/>
    <mergeCell ref="A575:D575"/>
    <mergeCell ref="E575:I575"/>
    <mergeCell ref="J575:N575"/>
    <mergeCell ref="O575:S575"/>
    <mergeCell ref="T575:U575"/>
    <mergeCell ref="V575:X575"/>
    <mergeCell ref="Y575:AB575"/>
    <mergeCell ref="Y568:AB568"/>
    <mergeCell ref="AC568:AF568"/>
    <mergeCell ref="E570:U570"/>
    <mergeCell ref="E571:U571"/>
    <mergeCell ref="E572:U572"/>
    <mergeCell ref="A574:D574"/>
    <mergeCell ref="E574:I574"/>
    <mergeCell ref="J574:N574"/>
    <mergeCell ref="O574:S574"/>
    <mergeCell ref="T574:U574"/>
    <mergeCell ref="A568:D568"/>
    <mergeCell ref="E568:I568"/>
    <mergeCell ref="J568:N568"/>
    <mergeCell ref="O568:S568"/>
    <mergeCell ref="T568:U568"/>
    <mergeCell ref="V568:X568"/>
    <mergeCell ref="AC566:AF566"/>
    <mergeCell ref="A567:D567"/>
    <mergeCell ref="E567:I567"/>
    <mergeCell ref="J567:N567"/>
    <mergeCell ref="O567:S567"/>
    <mergeCell ref="T567:U567"/>
    <mergeCell ref="V567:X567"/>
    <mergeCell ref="Y567:AB567"/>
    <mergeCell ref="AC567:AF567"/>
    <mergeCell ref="V565:X565"/>
    <mergeCell ref="Y565:AB565"/>
    <mergeCell ref="AC565:AF565"/>
    <mergeCell ref="A566:D566"/>
    <mergeCell ref="E566:I566"/>
    <mergeCell ref="J566:N566"/>
    <mergeCell ref="O566:S566"/>
    <mergeCell ref="T566:U566"/>
    <mergeCell ref="V566:X566"/>
    <mergeCell ref="Y566:AB566"/>
    <mergeCell ref="Y559:AB559"/>
    <mergeCell ref="AC559:AF559"/>
    <mergeCell ref="E561:U561"/>
    <mergeCell ref="E562:U562"/>
    <mergeCell ref="E563:U563"/>
    <mergeCell ref="A565:D565"/>
    <mergeCell ref="E565:I565"/>
    <mergeCell ref="J565:N565"/>
    <mergeCell ref="O565:S565"/>
    <mergeCell ref="T565:U565"/>
    <mergeCell ref="A559:D559"/>
    <mergeCell ref="E559:I559"/>
    <mergeCell ref="J559:N559"/>
    <mergeCell ref="O559:S559"/>
    <mergeCell ref="T559:U559"/>
    <mergeCell ref="V559:X559"/>
    <mergeCell ref="AC557:AF557"/>
    <mergeCell ref="A558:D558"/>
    <mergeCell ref="E558:I558"/>
    <mergeCell ref="J558:N558"/>
    <mergeCell ref="O558:S558"/>
    <mergeCell ref="T558:U558"/>
    <mergeCell ref="V558:X558"/>
    <mergeCell ref="Y558:AB558"/>
    <mergeCell ref="AC558:AF558"/>
    <mergeCell ref="V556:X556"/>
    <mergeCell ref="Y556:AB556"/>
    <mergeCell ref="AC556:AF556"/>
    <mergeCell ref="A557:D557"/>
    <mergeCell ref="E557:I557"/>
    <mergeCell ref="J557:N557"/>
    <mergeCell ref="O557:S557"/>
    <mergeCell ref="T557:U557"/>
    <mergeCell ref="V557:X557"/>
    <mergeCell ref="Y557:AB557"/>
    <mergeCell ref="E552:U552"/>
    <mergeCell ref="E553:U553"/>
    <mergeCell ref="E554:U554"/>
    <mergeCell ref="A556:D556"/>
    <mergeCell ref="E556:I556"/>
    <mergeCell ref="J556:N556"/>
    <mergeCell ref="O556:S556"/>
    <mergeCell ref="T556:U556"/>
    <mergeCell ref="Y549:AB549"/>
    <mergeCell ref="AC549:AF549"/>
    <mergeCell ref="A550:D550"/>
    <mergeCell ref="E550:I550"/>
    <mergeCell ref="J550:N550"/>
    <mergeCell ref="O550:S550"/>
    <mergeCell ref="T550:U550"/>
    <mergeCell ref="V550:X550"/>
    <mergeCell ref="Y550:AB550"/>
    <mergeCell ref="AC550:AF550"/>
    <mergeCell ref="A549:D549"/>
    <mergeCell ref="E549:I549"/>
    <mergeCell ref="J549:N549"/>
    <mergeCell ref="O549:S549"/>
    <mergeCell ref="T549:U549"/>
    <mergeCell ref="V549:X549"/>
    <mergeCell ref="AC547:AF547"/>
    <mergeCell ref="A548:D548"/>
    <mergeCell ref="E548:I548"/>
    <mergeCell ref="J548:N548"/>
    <mergeCell ref="O548:S548"/>
    <mergeCell ref="T548:U548"/>
    <mergeCell ref="V548:X548"/>
    <mergeCell ref="Y548:AB548"/>
    <mergeCell ref="AC548:AF548"/>
    <mergeCell ref="V546:X546"/>
    <mergeCell ref="Y546:AB546"/>
    <mergeCell ref="AC546:AF546"/>
    <mergeCell ref="A547:D547"/>
    <mergeCell ref="E547:I547"/>
    <mergeCell ref="J547:N547"/>
    <mergeCell ref="O547:S547"/>
    <mergeCell ref="T547:U547"/>
    <mergeCell ref="V547:X547"/>
    <mergeCell ref="Y547:AB547"/>
    <mergeCell ref="Y540:AB540"/>
    <mergeCell ref="AC540:AF540"/>
    <mergeCell ref="E542:U542"/>
    <mergeCell ref="E543:U543"/>
    <mergeCell ref="E544:U544"/>
    <mergeCell ref="A546:D546"/>
    <mergeCell ref="E546:I546"/>
    <mergeCell ref="J546:N546"/>
    <mergeCell ref="O546:S546"/>
    <mergeCell ref="T546:U546"/>
    <mergeCell ref="A540:D540"/>
    <mergeCell ref="E540:I540"/>
    <mergeCell ref="J540:N540"/>
    <mergeCell ref="O540:S540"/>
    <mergeCell ref="T540:U540"/>
    <mergeCell ref="V540:X540"/>
    <mergeCell ref="Y538:AB538"/>
    <mergeCell ref="AC538:AF538"/>
    <mergeCell ref="A539:D539"/>
    <mergeCell ref="E539:I539"/>
    <mergeCell ref="J539:N539"/>
    <mergeCell ref="O539:S539"/>
    <mergeCell ref="T539:U539"/>
    <mergeCell ref="V539:X539"/>
    <mergeCell ref="Y539:AB539"/>
    <mergeCell ref="AC539:AF539"/>
    <mergeCell ref="A538:D538"/>
    <mergeCell ref="E538:I538"/>
    <mergeCell ref="J538:N538"/>
    <mergeCell ref="O538:S538"/>
    <mergeCell ref="T538:U538"/>
    <mergeCell ref="V538:X538"/>
    <mergeCell ref="Y536:AB536"/>
    <mergeCell ref="AC536:AF536"/>
    <mergeCell ref="A537:D537"/>
    <mergeCell ref="E537:I537"/>
    <mergeCell ref="J537:N537"/>
    <mergeCell ref="O537:S537"/>
    <mergeCell ref="T537:U537"/>
    <mergeCell ref="V537:X537"/>
    <mergeCell ref="Y537:AB537"/>
    <mergeCell ref="AC537:AF537"/>
    <mergeCell ref="A536:D536"/>
    <mergeCell ref="E536:I536"/>
    <mergeCell ref="J536:N536"/>
    <mergeCell ref="O536:S536"/>
    <mergeCell ref="T536:U536"/>
    <mergeCell ref="V536:X536"/>
    <mergeCell ref="V531:X531"/>
    <mergeCell ref="Y531:AB531"/>
    <mergeCell ref="AC531:AF531"/>
    <mergeCell ref="E532:U532"/>
    <mergeCell ref="E533:U533"/>
    <mergeCell ref="E534:U534"/>
    <mergeCell ref="Y529:AB529"/>
    <mergeCell ref="AC529:AF529"/>
    <mergeCell ref="A530:D530"/>
    <mergeCell ref="E530:I530"/>
    <mergeCell ref="J530:N530"/>
    <mergeCell ref="O530:S530"/>
    <mergeCell ref="T530:U530"/>
    <mergeCell ref="V530:X530"/>
    <mergeCell ref="Y530:AB530"/>
    <mergeCell ref="AC530:AF530"/>
    <mergeCell ref="A529:D529"/>
    <mergeCell ref="E529:I529"/>
    <mergeCell ref="J529:N529"/>
    <mergeCell ref="O529:S529"/>
    <mergeCell ref="T529:U529"/>
    <mergeCell ref="V529:X529"/>
    <mergeCell ref="AC527:AF527"/>
    <mergeCell ref="A528:D528"/>
    <mergeCell ref="E528:I528"/>
    <mergeCell ref="J528:N528"/>
    <mergeCell ref="O528:S528"/>
    <mergeCell ref="T528:U528"/>
    <mergeCell ref="V528:X528"/>
    <mergeCell ref="Y528:AB528"/>
    <mergeCell ref="AC528:AF528"/>
    <mergeCell ref="V526:X526"/>
    <mergeCell ref="Y526:AB526"/>
    <mergeCell ref="AC526:AF526"/>
    <mergeCell ref="A527:D527"/>
    <mergeCell ref="E527:I527"/>
    <mergeCell ref="J527:N527"/>
    <mergeCell ref="O527:S527"/>
    <mergeCell ref="T527:U527"/>
    <mergeCell ref="V527:X527"/>
    <mergeCell ref="Y527:AB527"/>
    <mergeCell ref="Y520:AB520"/>
    <mergeCell ref="AC520:AF520"/>
    <mergeCell ref="E522:U522"/>
    <mergeCell ref="E523:U523"/>
    <mergeCell ref="E524:U524"/>
    <mergeCell ref="A526:D526"/>
    <mergeCell ref="E526:I526"/>
    <mergeCell ref="J526:N526"/>
    <mergeCell ref="O526:S526"/>
    <mergeCell ref="T526:U526"/>
    <mergeCell ref="A520:D520"/>
    <mergeCell ref="E520:I520"/>
    <mergeCell ref="J520:N520"/>
    <mergeCell ref="O520:S520"/>
    <mergeCell ref="T520:U520"/>
    <mergeCell ref="V520:X520"/>
    <mergeCell ref="Y518:AB518"/>
    <mergeCell ref="AC518:AF518"/>
    <mergeCell ref="A519:D519"/>
    <mergeCell ref="E519:I519"/>
    <mergeCell ref="J519:N519"/>
    <mergeCell ref="O519:S519"/>
    <mergeCell ref="T519:U519"/>
    <mergeCell ref="V519:X519"/>
    <mergeCell ref="Y519:AB519"/>
    <mergeCell ref="AC519:AF519"/>
    <mergeCell ref="A518:D518"/>
    <mergeCell ref="E518:I518"/>
    <mergeCell ref="J518:N518"/>
    <mergeCell ref="O518:S518"/>
    <mergeCell ref="T518:U518"/>
    <mergeCell ref="V518:X518"/>
    <mergeCell ref="AC516:AF516"/>
    <mergeCell ref="A517:D517"/>
    <mergeCell ref="E517:I517"/>
    <mergeCell ref="J517:N517"/>
    <mergeCell ref="O517:S517"/>
    <mergeCell ref="T517:U517"/>
    <mergeCell ref="V517:X517"/>
    <mergeCell ref="Y517:AB517"/>
    <mergeCell ref="AC517:AF517"/>
    <mergeCell ref="V515:X515"/>
    <mergeCell ref="Y515:AB515"/>
    <mergeCell ref="AC515:AF515"/>
    <mergeCell ref="A516:D516"/>
    <mergeCell ref="E516:I516"/>
    <mergeCell ref="J516:N516"/>
    <mergeCell ref="O516:S516"/>
    <mergeCell ref="T516:U516"/>
    <mergeCell ref="V516:X516"/>
    <mergeCell ref="Y516:AB516"/>
    <mergeCell ref="Y509:AB509"/>
    <mergeCell ref="AC509:AF509"/>
    <mergeCell ref="E511:U511"/>
    <mergeCell ref="E512:U512"/>
    <mergeCell ref="E513:U513"/>
    <mergeCell ref="A515:D515"/>
    <mergeCell ref="E515:I515"/>
    <mergeCell ref="J515:N515"/>
    <mergeCell ref="O515:S515"/>
    <mergeCell ref="T515:U515"/>
    <mergeCell ref="A509:D509"/>
    <mergeCell ref="E509:I509"/>
    <mergeCell ref="J509:N509"/>
    <mergeCell ref="O509:S509"/>
    <mergeCell ref="T509:U509"/>
    <mergeCell ref="V509:X509"/>
    <mergeCell ref="Y507:AB507"/>
    <mergeCell ref="AC507:AF507"/>
    <mergeCell ref="A508:D508"/>
    <mergeCell ref="E508:I508"/>
    <mergeCell ref="J508:N508"/>
    <mergeCell ref="O508:S508"/>
    <mergeCell ref="T508:U508"/>
    <mergeCell ref="V508:X508"/>
    <mergeCell ref="Y508:AB508"/>
    <mergeCell ref="AC508:AF508"/>
    <mergeCell ref="A507:D507"/>
    <mergeCell ref="E507:I507"/>
    <mergeCell ref="J507:N507"/>
    <mergeCell ref="O507:S507"/>
    <mergeCell ref="T507:U507"/>
    <mergeCell ref="V507:X507"/>
    <mergeCell ref="AC505:AF505"/>
    <mergeCell ref="A506:D506"/>
    <mergeCell ref="E506:I506"/>
    <mergeCell ref="J506:N506"/>
    <mergeCell ref="O506:S506"/>
    <mergeCell ref="T506:U506"/>
    <mergeCell ref="V506:X506"/>
    <mergeCell ref="Y506:AB506"/>
    <mergeCell ref="AC506:AF506"/>
    <mergeCell ref="V504:X504"/>
    <mergeCell ref="Y504:AB504"/>
    <mergeCell ref="AC504:AF504"/>
    <mergeCell ref="A505:D505"/>
    <mergeCell ref="E505:I505"/>
    <mergeCell ref="J505:N505"/>
    <mergeCell ref="O505:S505"/>
    <mergeCell ref="T505:U505"/>
    <mergeCell ref="V505:X505"/>
    <mergeCell ref="Y505:AB505"/>
    <mergeCell ref="Y498:AB498"/>
    <mergeCell ref="AC498:AF498"/>
    <mergeCell ref="E500:U500"/>
    <mergeCell ref="E501:U501"/>
    <mergeCell ref="E502:U502"/>
    <mergeCell ref="A504:D504"/>
    <mergeCell ref="E504:I504"/>
    <mergeCell ref="J504:N504"/>
    <mergeCell ref="O504:S504"/>
    <mergeCell ref="T504:U504"/>
    <mergeCell ref="A498:D498"/>
    <mergeCell ref="E498:I498"/>
    <mergeCell ref="J498:N498"/>
    <mergeCell ref="O498:S498"/>
    <mergeCell ref="T498:U498"/>
    <mergeCell ref="V498:X498"/>
    <mergeCell ref="Y496:AB496"/>
    <mergeCell ref="AC496:AF496"/>
    <mergeCell ref="A497:D497"/>
    <mergeCell ref="E497:I497"/>
    <mergeCell ref="J497:N497"/>
    <mergeCell ref="O497:S497"/>
    <mergeCell ref="T497:U497"/>
    <mergeCell ref="V497:X497"/>
    <mergeCell ref="Y497:AB497"/>
    <mergeCell ref="AC497:AF497"/>
    <mergeCell ref="A496:D496"/>
    <mergeCell ref="E496:I496"/>
    <mergeCell ref="J496:N496"/>
    <mergeCell ref="O496:S496"/>
    <mergeCell ref="T496:U496"/>
    <mergeCell ref="V496:X496"/>
    <mergeCell ref="AC494:AF494"/>
    <mergeCell ref="A495:D495"/>
    <mergeCell ref="E495:I495"/>
    <mergeCell ref="J495:N495"/>
    <mergeCell ref="O495:S495"/>
    <mergeCell ref="T495:U495"/>
    <mergeCell ref="V495:X495"/>
    <mergeCell ref="Y495:AB495"/>
    <mergeCell ref="AC495:AF495"/>
    <mergeCell ref="V493:X493"/>
    <mergeCell ref="Y493:AB493"/>
    <mergeCell ref="AC493:AF493"/>
    <mergeCell ref="A494:D494"/>
    <mergeCell ref="E494:I494"/>
    <mergeCell ref="J494:N494"/>
    <mergeCell ref="O494:S494"/>
    <mergeCell ref="T494:U494"/>
    <mergeCell ref="V494:X494"/>
    <mergeCell ref="Y494:AB494"/>
    <mergeCell ref="Y487:AB487"/>
    <mergeCell ref="AC487:AF487"/>
    <mergeCell ref="E489:U489"/>
    <mergeCell ref="E490:U490"/>
    <mergeCell ref="E491:U491"/>
    <mergeCell ref="A493:D493"/>
    <mergeCell ref="E493:I493"/>
    <mergeCell ref="J493:N493"/>
    <mergeCell ref="O493:S493"/>
    <mergeCell ref="T493:U493"/>
    <mergeCell ref="A487:D487"/>
    <mergeCell ref="E487:I487"/>
    <mergeCell ref="J487:N487"/>
    <mergeCell ref="O487:S487"/>
    <mergeCell ref="T487:U487"/>
    <mergeCell ref="V487:X487"/>
    <mergeCell ref="Y485:AB485"/>
    <mergeCell ref="AC485:AF485"/>
    <mergeCell ref="A486:D486"/>
    <mergeCell ref="E486:I486"/>
    <mergeCell ref="J486:N486"/>
    <mergeCell ref="O486:S486"/>
    <mergeCell ref="T486:U486"/>
    <mergeCell ref="V486:X486"/>
    <mergeCell ref="Y486:AB486"/>
    <mergeCell ref="AC486:AF486"/>
    <mergeCell ref="A485:D485"/>
    <mergeCell ref="E485:I485"/>
    <mergeCell ref="J485:N485"/>
    <mergeCell ref="O485:S485"/>
    <mergeCell ref="T485:U485"/>
    <mergeCell ref="V485:X485"/>
    <mergeCell ref="AC483:AF483"/>
    <mergeCell ref="A484:D484"/>
    <mergeCell ref="E484:I484"/>
    <mergeCell ref="J484:N484"/>
    <mergeCell ref="O484:S484"/>
    <mergeCell ref="T484:U484"/>
    <mergeCell ref="V484:X484"/>
    <mergeCell ref="Y484:AB484"/>
    <mergeCell ref="AC484:AF484"/>
    <mergeCell ref="V482:X482"/>
    <mergeCell ref="Y482:AB482"/>
    <mergeCell ref="AC482:AF482"/>
    <mergeCell ref="A483:D483"/>
    <mergeCell ref="E483:I483"/>
    <mergeCell ref="J483:N483"/>
    <mergeCell ref="O483:S483"/>
    <mergeCell ref="T483:U483"/>
    <mergeCell ref="V483:X483"/>
    <mergeCell ref="Y483:AB483"/>
    <mergeCell ref="Y476:AB476"/>
    <mergeCell ref="AC476:AF476"/>
    <mergeCell ref="E478:U478"/>
    <mergeCell ref="E479:U479"/>
    <mergeCell ref="E480:U480"/>
    <mergeCell ref="A482:D482"/>
    <mergeCell ref="E482:I482"/>
    <mergeCell ref="J482:N482"/>
    <mergeCell ref="O482:S482"/>
    <mergeCell ref="T482:U482"/>
    <mergeCell ref="A476:D476"/>
    <mergeCell ref="E476:I476"/>
    <mergeCell ref="J476:N476"/>
    <mergeCell ref="O476:S476"/>
    <mergeCell ref="T476:U476"/>
    <mergeCell ref="V476:X476"/>
    <mergeCell ref="Y474:AB474"/>
    <mergeCell ref="AC474:AF474"/>
    <mergeCell ref="A475:D475"/>
    <mergeCell ref="E475:I475"/>
    <mergeCell ref="J475:N475"/>
    <mergeCell ref="O475:S475"/>
    <mergeCell ref="T475:U475"/>
    <mergeCell ref="V475:X475"/>
    <mergeCell ref="Y475:AB475"/>
    <mergeCell ref="AC475:AF475"/>
    <mergeCell ref="A474:D474"/>
    <mergeCell ref="E474:I474"/>
    <mergeCell ref="J474:N474"/>
    <mergeCell ref="O474:S474"/>
    <mergeCell ref="T474:U474"/>
    <mergeCell ref="V474:X474"/>
    <mergeCell ref="Y472:AB472"/>
    <mergeCell ref="AC472:AF472"/>
    <mergeCell ref="A473:D473"/>
    <mergeCell ref="E473:I473"/>
    <mergeCell ref="J473:N473"/>
    <mergeCell ref="O473:S473"/>
    <mergeCell ref="T473:U473"/>
    <mergeCell ref="V473:X473"/>
    <mergeCell ref="Y473:AB473"/>
    <mergeCell ref="AC473:AF473"/>
    <mergeCell ref="A472:D472"/>
    <mergeCell ref="E472:I472"/>
    <mergeCell ref="J472:N472"/>
    <mergeCell ref="O472:S472"/>
    <mergeCell ref="T472:U472"/>
    <mergeCell ref="V472:X472"/>
    <mergeCell ref="Y470:AB470"/>
    <mergeCell ref="AC470:AF470"/>
    <mergeCell ref="A471:D471"/>
    <mergeCell ref="E471:I471"/>
    <mergeCell ref="J471:N471"/>
    <mergeCell ref="O471:S471"/>
    <mergeCell ref="T471:U471"/>
    <mergeCell ref="V471:X471"/>
    <mergeCell ref="Y471:AB471"/>
    <mergeCell ref="AC471:AF471"/>
    <mergeCell ref="A470:D470"/>
    <mergeCell ref="E470:I470"/>
    <mergeCell ref="J470:N470"/>
    <mergeCell ref="O470:S470"/>
    <mergeCell ref="T470:U470"/>
    <mergeCell ref="V470:X470"/>
    <mergeCell ref="Y468:AB468"/>
    <mergeCell ref="AC468:AF468"/>
    <mergeCell ref="A469:D469"/>
    <mergeCell ref="E469:I469"/>
    <mergeCell ref="J469:N469"/>
    <mergeCell ref="O469:S469"/>
    <mergeCell ref="T469:U469"/>
    <mergeCell ref="V469:X469"/>
    <mergeCell ref="Y469:AB469"/>
    <mergeCell ref="AC469:AF469"/>
    <mergeCell ref="A468:D468"/>
    <mergeCell ref="E468:I468"/>
    <mergeCell ref="J468:N468"/>
    <mergeCell ref="O468:S468"/>
    <mergeCell ref="T468:U468"/>
    <mergeCell ref="V468:X468"/>
    <mergeCell ref="AC466:AF466"/>
    <mergeCell ref="A467:D467"/>
    <mergeCell ref="E467:I467"/>
    <mergeCell ref="J467:N467"/>
    <mergeCell ref="O467:S467"/>
    <mergeCell ref="T467:U467"/>
    <mergeCell ref="V467:X467"/>
    <mergeCell ref="Y467:AB467"/>
    <mergeCell ref="AC467:AF467"/>
    <mergeCell ref="V465:X465"/>
    <mergeCell ref="Y465:AB465"/>
    <mergeCell ref="AC465:AF465"/>
    <mergeCell ref="A466:D466"/>
    <mergeCell ref="E466:I466"/>
    <mergeCell ref="J466:N466"/>
    <mergeCell ref="O466:S466"/>
    <mergeCell ref="T466:U466"/>
    <mergeCell ref="V466:X466"/>
    <mergeCell ref="Y466:AB466"/>
    <mergeCell ref="E462:U462"/>
    <mergeCell ref="B464:U464"/>
    <mergeCell ref="A465:D465"/>
    <mergeCell ref="E465:I465"/>
    <mergeCell ref="J465:N465"/>
    <mergeCell ref="O465:S465"/>
    <mergeCell ref="T465:U465"/>
    <mergeCell ref="Y454:AB454"/>
    <mergeCell ref="AC454:AF454"/>
    <mergeCell ref="F456:U456"/>
    <mergeCell ref="F457:U457"/>
    <mergeCell ref="F458:U458"/>
    <mergeCell ref="F459:U459"/>
    <mergeCell ref="A454:D454"/>
    <mergeCell ref="E454:I454"/>
    <mergeCell ref="J454:N454"/>
    <mergeCell ref="O454:S454"/>
    <mergeCell ref="T454:U454"/>
    <mergeCell ref="V454:X454"/>
    <mergeCell ref="AC452:AF452"/>
    <mergeCell ref="A453:D453"/>
    <mergeCell ref="E453:I453"/>
    <mergeCell ref="J453:N453"/>
    <mergeCell ref="O453:S453"/>
    <mergeCell ref="T453:U453"/>
    <mergeCell ref="V453:X453"/>
    <mergeCell ref="Y453:AB453"/>
    <mergeCell ref="AC453:AF453"/>
    <mergeCell ref="V451:X451"/>
    <mergeCell ref="Y451:AB451"/>
    <mergeCell ref="AC451:AF451"/>
    <mergeCell ref="A452:D452"/>
    <mergeCell ref="E452:I452"/>
    <mergeCell ref="J452:N452"/>
    <mergeCell ref="O452:S452"/>
    <mergeCell ref="T452:U452"/>
    <mergeCell ref="V452:X452"/>
    <mergeCell ref="Y452:AB452"/>
    <mergeCell ref="E447:U447"/>
    <mergeCell ref="E448:U448"/>
    <mergeCell ref="B450:U450"/>
    <mergeCell ref="A451:D451"/>
    <mergeCell ref="E451:I451"/>
    <mergeCell ref="J451:N451"/>
    <mergeCell ref="O451:S451"/>
    <mergeCell ref="T451:U451"/>
    <mergeCell ref="Y443:AB443"/>
    <mergeCell ref="AC443:AF443"/>
    <mergeCell ref="A444:D444"/>
    <mergeCell ref="E444:I444"/>
    <mergeCell ref="J444:N444"/>
    <mergeCell ref="O444:S444"/>
    <mergeCell ref="T444:U444"/>
    <mergeCell ref="V444:X444"/>
    <mergeCell ref="Y444:AB444"/>
    <mergeCell ref="AC444:AF444"/>
    <mergeCell ref="A443:D443"/>
    <mergeCell ref="E443:I443"/>
    <mergeCell ref="J443:N443"/>
    <mergeCell ref="O443:S443"/>
    <mergeCell ref="T443:U443"/>
    <mergeCell ref="V443:X443"/>
    <mergeCell ref="Y441:AB441"/>
    <mergeCell ref="AC441:AF441"/>
    <mergeCell ref="A442:D442"/>
    <mergeCell ref="E442:I442"/>
    <mergeCell ref="J442:N442"/>
    <mergeCell ref="O442:S442"/>
    <mergeCell ref="T442:U442"/>
    <mergeCell ref="V442:X442"/>
    <mergeCell ref="Y442:AB442"/>
    <mergeCell ref="AC442:AF442"/>
    <mergeCell ref="A441:D441"/>
    <mergeCell ref="E441:I441"/>
    <mergeCell ref="J441:N441"/>
    <mergeCell ref="O441:S441"/>
    <mergeCell ref="T441:U441"/>
    <mergeCell ref="V441:X441"/>
    <mergeCell ref="Y439:AB439"/>
    <mergeCell ref="AC439:AF439"/>
    <mergeCell ref="A440:D440"/>
    <mergeCell ref="E440:I440"/>
    <mergeCell ref="J440:N440"/>
    <mergeCell ref="O440:S440"/>
    <mergeCell ref="T440:U440"/>
    <mergeCell ref="V440:X440"/>
    <mergeCell ref="Y440:AB440"/>
    <mergeCell ref="AC440:AF440"/>
    <mergeCell ref="A439:D439"/>
    <mergeCell ref="E439:I439"/>
    <mergeCell ref="J439:N439"/>
    <mergeCell ref="O439:S439"/>
    <mergeCell ref="T439:U439"/>
    <mergeCell ref="V439:X439"/>
    <mergeCell ref="Y437:AB437"/>
    <mergeCell ref="AC437:AF437"/>
    <mergeCell ref="A438:D438"/>
    <mergeCell ref="E438:I438"/>
    <mergeCell ref="J438:N438"/>
    <mergeCell ref="O438:S438"/>
    <mergeCell ref="T438:U438"/>
    <mergeCell ref="V438:X438"/>
    <mergeCell ref="Y438:AB438"/>
    <mergeCell ref="AC438:AF438"/>
    <mergeCell ref="A437:D437"/>
    <mergeCell ref="E437:I437"/>
    <mergeCell ref="J437:N437"/>
    <mergeCell ref="O437:S437"/>
    <mergeCell ref="T437:U437"/>
    <mergeCell ref="V437:X437"/>
    <mergeCell ref="AC428:AF428"/>
    <mergeCell ref="A431:A433"/>
    <mergeCell ref="D432:U432"/>
    <mergeCell ref="D433:U433"/>
    <mergeCell ref="D434:U434"/>
    <mergeCell ref="B436:U436"/>
    <mergeCell ref="V427:X427"/>
    <mergeCell ref="Y427:AB427"/>
    <mergeCell ref="AC427:AF427"/>
    <mergeCell ref="A428:D428"/>
    <mergeCell ref="E428:I428"/>
    <mergeCell ref="J428:N428"/>
    <mergeCell ref="O428:S428"/>
    <mergeCell ref="T428:U428"/>
    <mergeCell ref="V428:X428"/>
    <mergeCell ref="Y428:AB428"/>
    <mergeCell ref="D422:U422"/>
    <mergeCell ref="D424:U424"/>
    <mergeCell ref="D425:U425"/>
    <mergeCell ref="B426:U426"/>
    <mergeCell ref="A427:D427"/>
    <mergeCell ref="E427:I427"/>
    <mergeCell ref="J427:N427"/>
    <mergeCell ref="O427:S427"/>
    <mergeCell ref="T427:U427"/>
    <mergeCell ref="Y419:AB419"/>
    <mergeCell ref="AC419:AF419"/>
    <mergeCell ref="A420:D420"/>
    <mergeCell ref="E420:I420"/>
    <mergeCell ref="J420:N420"/>
    <mergeCell ref="O420:S420"/>
    <mergeCell ref="T420:U420"/>
    <mergeCell ref="V420:X420"/>
    <mergeCell ref="Y420:AB420"/>
    <mergeCell ref="AC420:AF420"/>
    <mergeCell ref="A419:D419"/>
    <mergeCell ref="E419:I419"/>
    <mergeCell ref="J419:N419"/>
    <mergeCell ref="O419:S419"/>
    <mergeCell ref="T419:U419"/>
    <mergeCell ref="V419:X419"/>
    <mergeCell ref="Y417:AB417"/>
    <mergeCell ref="AC417:AF417"/>
    <mergeCell ref="A418:D418"/>
    <mergeCell ref="E418:I418"/>
    <mergeCell ref="J418:N418"/>
    <mergeCell ref="O418:S418"/>
    <mergeCell ref="T418:U418"/>
    <mergeCell ref="V418:X418"/>
    <mergeCell ref="Y418:AB418"/>
    <mergeCell ref="AC418:AF418"/>
    <mergeCell ref="A417:D417"/>
    <mergeCell ref="E417:I417"/>
    <mergeCell ref="J417:N417"/>
    <mergeCell ref="O417:S417"/>
    <mergeCell ref="T417:U417"/>
    <mergeCell ref="V417:X417"/>
    <mergeCell ref="Y415:AB415"/>
    <mergeCell ref="AC415:AF415"/>
    <mergeCell ref="A416:D416"/>
    <mergeCell ref="E416:I416"/>
    <mergeCell ref="J416:N416"/>
    <mergeCell ref="O416:S416"/>
    <mergeCell ref="T416:U416"/>
    <mergeCell ref="V416:X416"/>
    <mergeCell ref="Y416:AB416"/>
    <mergeCell ref="AC416:AF416"/>
    <mergeCell ref="A415:D415"/>
    <mergeCell ref="E415:I415"/>
    <mergeCell ref="J415:N415"/>
    <mergeCell ref="O415:S415"/>
    <mergeCell ref="T415:U415"/>
    <mergeCell ref="V415:X415"/>
    <mergeCell ref="Y413:AB413"/>
    <mergeCell ref="AC413:AF413"/>
    <mergeCell ref="A414:D414"/>
    <mergeCell ref="E414:I414"/>
    <mergeCell ref="J414:N414"/>
    <mergeCell ref="O414:S414"/>
    <mergeCell ref="T414:U414"/>
    <mergeCell ref="V414:X414"/>
    <mergeCell ref="Y414:AB414"/>
    <mergeCell ref="AC414:AF414"/>
    <mergeCell ref="A413:D413"/>
    <mergeCell ref="E413:I413"/>
    <mergeCell ref="J413:N413"/>
    <mergeCell ref="O413:S413"/>
    <mergeCell ref="T413:U413"/>
    <mergeCell ref="V413:X413"/>
    <mergeCell ref="Y411:AB411"/>
    <mergeCell ref="AC411:AF411"/>
    <mergeCell ref="A412:D412"/>
    <mergeCell ref="E412:I412"/>
    <mergeCell ref="J412:N412"/>
    <mergeCell ref="O412:S412"/>
    <mergeCell ref="T412:U412"/>
    <mergeCell ref="V412:X412"/>
    <mergeCell ref="Y412:AB412"/>
    <mergeCell ref="AC412:AF412"/>
    <mergeCell ref="A411:D411"/>
    <mergeCell ref="E411:I411"/>
    <mergeCell ref="J411:N411"/>
    <mergeCell ref="O411:S411"/>
    <mergeCell ref="T411:U411"/>
    <mergeCell ref="V411:X411"/>
    <mergeCell ref="Y409:AB409"/>
    <mergeCell ref="AC409:AF409"/>
    <mergeCell ref="A410:D410"/>
    <mergeCell ref="E410:I410"/>
    <mergeCell ref="J410:N410"/>
    <mergeCell ref="O410:S410"/>
    <mergeCell ref="T410:U410"/>
    <mergeCell ref="V410:X410"/>
    <mergeCell ref="Y410:AB410"/>
    <mergeCell ref="AC410:AF410"/>
    <mergeCell ref="A409:D409"/>
    <mergeCell ref="E409:I409"/>
    <mergeCell ref="J409:N409"/>
    <mergeCell ref="O409:S409"/>
    <mergeCell ref="T409:U409"/>
    <mergeCell ref="V409:X409"/>
    <mergeCell ref="Y407:AB407"/>
    <mergeCell ref="AC407:AF407"/>
    <mergeCell ref="A408:D408"/>
    <mergeCell ref="E408:I408"/>
    <mergeCell ref="J408:N408"/>
    <mergeCell ref="O408:S408"/>
    <mergeCell ref="T408:U408"/>
    <mergeCell ref="V408:X408"/>
    <mergeCell ref="Y408:AB408"/>
    <mergeCell ref="AC408:AF408"/>
    <mergeCell ref="A407:D407"/>
    <mergeCell ref="E407:I407"/>
    <mergeCell ref="J407:N407"/>
    <mergeCell ref="O407:S407"/>
    <mergeCell ref="T407:U407"/>
    <mergeCell ref="V407:X407"/>
    <mergeCell ref="Y405:AB405"/>
    <mergeCell ref="AC405:AF405"/>
    <mergeCell ref="A406:D406"/>
    <mergeCell ref="E406:I406"/>
    <mergeCell ref="J406:N406"/>
    <mergeCell ref="O406:S406"/>
    <mergeCell ref="T406:U406"/>
    <mergeCell ref="V406:X406"/>
    <mergeCell ref="Y406:AB406"/>
    <mergeCell ref="AC406:AF406"/>
    <mergeCell ref="A405:D405"/>
    <mergeCell ref="E405:I405"/>
    <mergeCell ref="J405:N405"/>
    <mergeCell ref="O405:S405"/>
    <mergeCell ref="T405:U405"/>
    <mergeCell ref="V405:X405"/>
    <mergeCell ref="Y403:AB403"/>
    <mergeCell ref="AC403:AF403"/>
    <mergeCell ref="A404:D404"/>
    <mergeCell ref="E404:I404"/>
    <mergeCell ref="J404:N404"/>
    <mergeCell ref="O404:S404"/>
    <mergeCell ref="T404:U404"/>
    <mergeCell ref="V404:X404"/>
    <mergeCell ref="Y404:AB404"/>
    <mergeCell ref="AC404:AF404"/>
    <mergeCell ref="A403:D403"/>
    <mergeCell ref="E403:I403"/>
    <mergeCell ref="J403:N403"/>
    <mergeCell ref="O403:S403"/>
    <mergeCell ref="T403:U403"/>
    <mergeCell ref="V403:X403"/>
    <mergeCell ref="AC401:AF401"/>
    <mergeCell ref="A402:D402"/>
    <mergeCell ref="E402:I402"/>
    <mergeCell ref="J402:N402"/>
    <mergeCell ref="O402:S402"/>
    <mergeCell ref="T402:U402"/>
    <mergeCell ref="V402:X402"/>
    <mergeCell ref="Y402:AB402"/>
    <mergeCell ref="AC402:AF402"/>
    <mergeCell ref="V400:X400"/>
    <mergeCell ref="Y400:AB400"/>
    <mergeCell ref="AC400:AF400"/>
    <mergeCell ref="A401:D401"/>
    <mergeCell ref="E401:I401"/>
    <mergeCell ref="J401:N401"/>
    <mergeCell ref="O401:S401"/>
    <mergeCell ref="T401:U401"/>
    <mergeCell ref="V401:X401"/>
    <mergeCell ref="Y401:AB401"/>
    <mergeCell ref="D394:U394"/>
    <mergeCell ref="V394:X394"/>
    <mergeCell ref="D397:U397"/>
    <mergeCell ref="D398:U398"/>
    <mergeCell ref="B399:U399"/>
    <mergeCell ref="A400:D400"/>
    <mergeCell ref="E400:I400"/>
    <mergeCell ref="J400:N400"/>
    <mergeCell ref="O400:S400"/>
    <mergeCell ref="T400:U400"/>
    <mergeCell ref="Y391:AB391"/>
    <mergeCell ref="AC391:AF391"/>
    <mergeCell ref="A392:D392"/>
    <mergeCell ref="E392:I392"/>
    <mergeCell ref="J392:N392"/>
    <mergeCell ref="O392:S392"/>
    <mergeCell ref="T392:U392"/>
    <mergeCell ref="V392:X392"/>
    <mergeCell ref="Y392:AB392"/>
    <mergeCell ref="AC392:AF392"/>
    <mergeCell ref="A391:D391"/>
    <mergeCell ref="E391:I391"/>
    <mergeCell ref="J391:N391"/>
    <mergeCell ref="O391:S391"/>
    <mergeCell ref="T391:U391"/>
    <mergeCell ref="V391:X391"/>
    <mergeCell ref="Y389:AB389"/>
    <mergeCell ref="AC389:AF389"/>
    <mergeCell ref="A390:D390"/>
    <mergeCell ref="E390:I390"/>
    <mergeCell ref="J390:N390"/>
    <mergeCell ref="O390:S390"/>
    <mergeCell ref="T390:U390"/>
    <mergeCell ref="V390:X390"/>
    <mergeCell ref="Y390:AB390"/>
    <mergeCell ref="AC390:AF390"/>
    <mergeCell ref="A389:D389"/>
    <mergeCell ref="E389:I389"/>
    <mergeCell ref="J389:N389"/>
    <mergeCell ref="O389:S389"/>
    <mergeCell ref="T389:U389"/>
    <mergeCell ref="V389:X389"/>
    <mergeCell ref="Y387:AB387"/>
    <mergeCell ref="AC387:AF387"/>
    <mergeCell ref="A388:D388"/>
    <mergeCell ref="E388:I388"/>
    <mergeCell ref="J388:N388"/>
    <mergeCell ref="O388:S388"/>
    <mergeCell ref="T388:U388"/>
    <mergeCell ref="V388:X388"/>
    <mergeCell ref="Y388:AB388"/>
    <mergeCell ref="AC388:AF388"/>
    <mergeCell ref="A387:D387"/>
    <mergeCell ref="E387:I387"/>
    <mergeCell ref="J387:N387"/>
    <mergeCell ref="O387:S387"/>
    <mergeCell ref="T387:U387"/>
    <mergeCell ref="V387:X387"/>
    <mergeCell ref="AC385:AF385"/>
    <mergeCell ref="A386:D386"/>
    <mergeCell ref="E386:I386"/>
    <mergeCell ref="J386:N386"/>
    <mergeCell ref="O386:S386"/>
    <mergeCell ref="T386:U386"/>
    <mergeCell ref="V386:X386"/>
    <mergeCell ref="Y386:AB386"/>
    <mergeCell ref="AC386:AF386"/>
    <mergeCell ref="V384:X384"/>
    <mergeCell ref="Y384:AB384"/>
    <mergeCell ref="AC384:AF384"/>
    <mergeCell ref="A385:D385"/>
    <mergeCell ref="E385:I385"/>
    <mergeCell ref="J385:N385"/>
    <mergeCell ref="O385:S385"/>
    <mergeCell ref="T385:U385"/>
    <mergeCell ref="V385:X385"/>
    <mergeCell ref="Y385:AB385"/>
    <mergeCell ref="C378:U378"/>
    <mergeCell ref="C379:U379"/>
    <mergeCell ref="D380:U380"/>
    <mergeCell ref="D381:U381"/>
    <mergeCell ref="B383:U383"/>
    <mergeCell ref="A384:D384"/>
    <mergeCell ref="E384:I384"/>
    <mergeCell ref="J384:N384"/>
    <mergeCell ref="O384:S384"/>
    <mergeCell ref="T384:U384"/>
    <mergeCell ref="A375:D375"/>
    <mergeCell ref="E375:I375"/>
    <mergeCell ref="J375:N375"/>
    <mergeCell ref="O375:S375"/>
    <mergeCell ref="T375:U375"/>
    <mergeCell ref="C377:U377"/>
    <mergeCell ref="Y373:AB373"/>
    <mergeCell ref="AC373:AF373"/>
    <mergeCell ref="A374:D374"/>
    <mergeCell ref="E374:I374"/>
    <mergeCell ref="J374:N374"/>
    <mergeCell ref="O374:S374"/>
    <mergeCell ref="T374:U374"/>
    <mergeCell ref="A373:D373"/>
    <mergeCell ref="E373:I373"/>
    <mergeCell ref="J373:N373"/>
    <mergeCell ref="O373:S373"/>
    <mergeCell ref="T373:U373"/>
    <mergeCell ref="V373:X373"/>
    <mergeCell ref="AC371:AF371"/>
    <mergeCell ref="A372:D372"/>
    <mergeCell ref="E372:I372"/>
    <mergeCell ref="J372:N372"/>
    <mergeCell ref="O372:S372"/>
    <mergeCell ref="T372:U372"/>
    <mergeCell ref="V372:X372"/>
    <mergeCell ref="Y372:AB372"/>
    <mergeCell ref="AC372:AF372"/>
    <mergeCell ref="V370:X370"/>
    <mergeCell ref="Y370:AB370"/>
    <mergeCell ref="AC370:AF370"/>
    <mergeCell ref="A371:D371"/>
    <mergeCell ref="E371:I371"/>
    <mergeCell ref="J371:N371"/>
    <mergeCell ref="O371:S371"/>
    <mergeCell ref="T371:U371"/>
    <mergeCell ref="V371:X371"/>
    <mergeCell ref="Y371:AB371"/>
    <mergeCell ref="C368:U368"/>
    <mergeCell ref="B369:T369"/>
    <mergeCell ref="A370:D370"/>
    <mergeCell ref="E370:I370"/>
    <mergeCell ref="J370:N370"/>
    <mergeCell ref="O370:S370"/>
    <mergeCell ref="T370:U370"/>
    <mergeCell ref="B359:U359"/>
    <mergeCell ref="B360:U360"/>
    <mergeCell ref="C361:T361"/>
    <mergeCell ref="C362:T362"/>
    <mergeCell ref="B365:U365"/>
    <mergeCell ref="A366:A367"/>
    <mergeCell ref="C367:U367"/>
    <mergeCell ref="Y356:AB356"/>
    <mergeCell ref="AC356:AF356"/>
    <mergeCell ref="A357:D357"/>
    <mergeCell ref="E357:I357"/>
    <mergeCell ref="J357:N357"/>
    <mergeCell ref="O357:S357"/>
    <mergeCell ref="T357:U357"/>
    <mergeCell ref="V357:X357"/>
    <mergeCell ref="Y357:AB357"/>
    <mergeCell ref="AC357:AF357"/>
    <mergeCell ref="A356:D356"/>
    <mergeCell ref="E356:I356"/>
    <mergeCell ref="J356:N356"/>
    <mergeCell ref="O356:S356"/>
    <mergeCell ref="T356:U356"/>
    <mergeCell ref="V356:X356"/>
    <mergeCell ref="Y354:AB354"/>
    <mergeCell ref="AC354:AF354"/>
    <mergeCell ref="A355:D355"/>
    <mergeCell ref="E355:I355"/>
    <mergeCell ref="J355:N355"/>
    <mergeCell ref="O355:S355"/>
    <mergeCell ref="T355:U355"/>
    <mergeCell ref="V355:X355"/>
    <mergeCell ref="Y355:AB355"/>
    <mergeCell ref="AC355:AF355"/>
    <mergeCell ref="A354:D354"/>
    <mergeCell ref="E354:I354"/>
    <mergeCell ref="J354:N354"/>
    <mergeCell ref="O354:S354"/>
    <mergeCell ref="T354:U354"/>
    <mergeCell ref="V354:X354"/>
    <mergeCell ref="V352:X352"/>
    <mergeCell ref="AC352:AF352"/>
    <mergeCell ref="A353:D353"/>
    <mergeCell ref="E353:I353"/>
    <mergeCell ref="J353:N353"/>
    <mergeCell ref="O353:S353"/>
    <mergeCell ref="T353:U353"/>
    <mergeCell ref="V353:X353"/>
    <mergeCell ref="Y353:AB353"/>
    <mergeCell ref="AC353:AF353"/>
    <mergeCell ref="C349:U349"/>
    <mergeCell ref="B351:U351"/>
    <mergeCell ref="A352:D352"/>
    <mergeCell ref="E352:I352"/>
    <mergeCell ref="J352:N352"/>
    <mergeCell ref="O352:S352"/>
    <mergeCell ref="T352:U352"/>
    <mergeCell ref="AB343:AE343"/>
    <mergeCell ref="AF343:AI343"/>
    <mergeCell ref="V344:AA344"/>
    <mergeCell ref="AB344:AE344"/>
    <mergeCell ref="AF344:AI344"/>
    <mergeCell ref="V345:AA345"/>
    <mergeCell ref="AB345:AE345"/>
    <mergeCell ref="AF345:AI345"/>
    <mergeCell ref="E333:U333"/>
    <mergeCell ref="A334:A349"/>
    <mergeCell ref="C335:U335"/>
    <mergeCell ref="C336:U336"/>
    <mergeCell ref="AB341:AE341"/>
    <mergeCell ref="AF341:AI341"/>
    <mergeCell ref="V342:AA342"/>
    <mergeCell ref="AB342:AE342"/>
    <mergeCell ref="AF342:AI342"/>
    <mergeCell ref="V343:AA343"/>
    <mergeCell ref="A331:C331"/>
    <mergeCell ref="D331:I331"/>
    <mergeCell ref="J331:N331"/>
    <mergeCell ref="O331:S331"/>
    <mergeCell ref="T331:U331"/>
    <mergeCell ref="A332:C332"/>
    <mergeCell ref="D332:I332"/>
    <mergeCell ref="J332:N332"/>
    <mergeCell ref="O332:S332"/>
    <mergeCell ref="T332:U332"/>
    <mergeCell ref="A329:C329"/>
    <mergeCell ref="D329:I329"/>
    <mergeCell ref="J329:N329"/>
    <mergeCell ref="O329:S329"/>
    <mergeCell ref="T329:U329"/>
    <mergeCell ref="A330:C330"/>
    <mergeCell ref="D330:I330"/>
    <mergeCell ref="J330:N330"/>
    <mergeCell ref="O330:S330"/>
    <mergeCell ref="T330:U330"/>
    <mergeCell ref="D324:U324"/>
    <mergeCell ref="D325:U325"/>
    <mergeCell ref="A327:C328"/>
    <mergeCell ref="D327:N327"/>
    <mergeCell ref="O327:S327"/>
    <mergeCell ref="T327:U328"/>
    <mergeCell ref="D328:I328"/>
    <mergeCell ref="J328:N328"/>
    <mergeCell ref="O328:S328"/>
    <mergeCell ref="A321:C321"/>
    <mergeCell ref="D321:I321"/>
    <mergeCell ref="J321:N321"/>
    <mergeCell ref="O321:S321"/>
    <mergeCell ref="T321:U321"/>
    <mergeCell ref="D323:U323"/>
    <mergeCell ref="A319:C319"/>
    <mergeCell ref="D319:I319"/>
    <mergeCell ref="J319:N319"/>
    <mergeCell ref="O319:S319"/>
    <mergeCell ref="T319:U319"/>
    <mergeCell ref="A320:C320"/>
    <mergeCell ref="D320:I320"/>
    <mergeCell ref="J320:N320"/>
    <mergeCell ref="O320:S320"/>
    <mergeCell ref="T320:U320"/>
    <mergeCell ref="A318:C318"/>
    <mergeCell ref="D318:I318"/>
    <mergeCell ref="J318:N318"/>
    <mergeCell ref="O318:S318"/>
    <mergeCell ref="T318:U318"/>
    <mergeCell ref="V318:AL318"/>
    <mergeCell ref="A316:C317"/>
    <mergeCell ref="D316:N316"/>
    <mergeCell ref="O316:S316"/>
    <mergeCell ref="T316:U317"/>
    <mergeCell ref="V316:AL316"/>
    <mergeCell ref="D317:I317"/>
    <mergeCell ref="J317:N317"/>
    <mergeCell ref="O317:S317"/>
    <mergeCell ref="V317:AL317"/>
    <mergeCell ref="E310:O310"/>
    <mergeCell ref="P310:U310"/>
    <mergeCell ref="D312:U312"/>
    <mergeCell ref="D313:U313"/>
    <mergeCell ref="D314:U314"/>
    <mergeCell ref="V315:AL315"/>
    <mergeCell ref="E308:F308"/>
    <mergeCell ref="G308:O308"/>
    <mergeCell ref="P308:U308"/>
    <mergeCell ref="E309:F309"/>
    <mergeCell ref="G309:O309"/>
    <mergeCell ref="P309:U309"/>
    <mergeCell ref="E306:F306"/>
    <mergeCell ref="G306:O306"/>
    <mergeCell ref="P306:U306"/>
    <mergeCell ref="E307:F307"/>
    <mergeCell ref="G307:O307"/>
    <mergeCell ref="P307:U307"/>
    <mergeCell ref="E304:F304"/>
    <mergeCell ref="G304:O304"/>
    <mergeCell ref="P304:U304"/>
    <mergeCell ref="E305:F305"/>
    <mergeCell ref="G305:O305"/>
    <mergeCell ref="P305:U305"/>
    <mergeCell ref="E298:O298"/>
    <mergeCell ref="P298:U298"/>
    <mergeCell ref="E300:U300"/>
    <mergeCell ref="E301:U301"/>
    <mergeCell ref="E303:F303"/>
    <mergeCell ref="G303:O303"/>
    <mergeCell ref="P303:U303"/>
    <mergeCell ref="E296:F296"/>
    <mergeCell ref="G296:O296"/>
    <mergeCell ref="P296:U296"/>
    <mergeCell ref="E297:F297"/>
    <mergeCell ref="G297:O297"/>
    <mergeCell ref="P297:U297"/>
    <mergeCell ref="E290:O290"/>
    <mergeCell ref="P290:U290"/>
    <mergeCell ref="E292:U292"/>
    <mergeCell ref="E293:U293"/>
    <mergeCell ref="E295:F295"/>
    <mergeCell ref="G295:O295"/>
    <mergeCell ref="P295:U295"/>
    <mergeCell ref="E288:F288"/>
    <mergeCell ref="G288:O288"/>
    <mergeCell ref="P288:U288"/>
    <mergeCell ref="E289:F289"/>
    <mergeCell ref="G289:O289"/>
    <mergeCell ref="P289:U289"/>
    <mergeCell ref="E286:F286"/>
    <mergeCell ref="G286:O286"/>
    <mergeCell ref="P286:U286"/>
    <mergeCell ref="E287:F287"/>
    <mergeCell ref="G287:O287"/>
    <mergeCell ref="P287:U287"/>
    <mergeCell ref="E284:F284"/>
    <mergeCell ref="G284:O284"/>
    <mergeCell ref="P284:U284"/>
    <mergeCell ref="E285:F285"/>
    <mergeCell ref="G285:O285"/>
    <mergeCell ref="P285:U285"/>
    <mergeCell ref="E278:O278"/>
    <mergeCell ref="P278:U278"/>
    <mergeCell ref="E280:U280"/>
    <mergeCell ref="E281:U281"/>
    <mergeCell ref="E283:F283"/>
    <mergeCell ref="G283:O283"/>
    <mergeCell ref="P283:U283"/>
    <mergeCell ref="E276:F276"/>
    <mergeCell ref="G276:O276"/>
    <mergeCell ref="P276:U276"/>
    <mergeCell ref="E277:F277"/>
    <mergeCell ref="G277:O277"/>
    <mergeCell ref="P277:U277"/>
    <mergeCell ref="E274:F274"/>
    <mergeCell ref="G274:O274"/>
    <mergeCell ref="P274:U274"/>
    <mergeCell ref="E275:F275"/>
    <mergeCell ref="G275:O275"/>
    <mergeCell ref="P275:U275"/>
    <mergeCell ref="E272:F272"/>
    <mergeCell ref="G272:O272"/>
    <mergeCell ref="P272:U272"/>
    <mergeCell ref="E273:F273"/>
    <mergeCell ref="G273:O273"/>
    <mergeCell ref="P273:U273"/>
    <mergeCell ref="E270:F270"/>
    <mergeCell ref="G270:O270"/>
    <mergeCell ref="P270:U270"/>
    <mergeCell ref="E271:F271"/>
    <mergeCell ref="G271:O271"/>
    <mergeCell ref="P271:U271"/>
    <mergeCell ref="E268:F268"/>
    <mergeCell ref="G268:O268"/>
    <mergeCell ref="P268:U268"/>
    <mergeCell ref="E269:F269"/>
    <mergeCell ref="G269:O269"/>
    <mergeCell ref="P269:U269"/>
    <mergeCell ref="D262:U262"/>
    <mergeCell ref="E264:U264"/>
    <mergeCell ref="E265:U265"/>
    <mergeCell ref="V265:AL265"/>
    <mergeCell ref="E267:F267"/>
    <mergeCell ref="G267:O267"/>
    <mergeCell ref="P267:U267"/>
    <mergeCell ref="A259:C259"/>
    <mergeCell ref="D259:I259"/>
    <mergeCell ref="J259:N259"/>
    <mergeCell ref="O259:S259"/>
    <mergeCell ref="T259:U259"/>
    <mergeCell ref="A260:C260"/>
    <mergeCell ref="D260:I260"/>
    <mergeCell ref="J260:N260"/>
    <mergeCell ref="O260:S260"/>
    <mergeCell ref="T260:U260"/>
    <mergeCell ref="A257:C257"/>
    <mergeCell ref="D257:I257"/>
    <mergeCell ref="J257:N257"/>
    <mergeCell ref="O257:S257"/>
    <mergeCell ref="T257:U257"/>
    <mergeCell ref="A258:C258"/>
    <mergeCell ref="D258:I258"/>
    <mergeCell ref="J258:N258"/>
    <mergeCell ref="O258:S258"/>
    <mergeCell ref="T258:U258"/>
    <mergeCell ref="A255:C255"/>
    <mergeCell ref="D255:I255"/>
    <mergeCell ref="J255:N255"/>
    <mergeCell ref="O255:S255"/>
    <mergeCell ref="T255:U255"/>
    <mergeCell ref="A256:C256"/>
    <mergeCell ref="D256:I256"/>
    <mergeCell ref="J256:N256"/>
    <mergeCell ref="O256:S256"/>
    <mergeCell ref="T256:U256"/>
    <mergeCell ref="D251:U251"/>
    <mergeCell ref="A253:C254"/>
    <mergeCell ref="D253:N253"/>
    <mergeCell ref="O253:S253"/>
    <mergeCell ref="T253:U254"/>
    <mergeCell ref="V253:AL253"/>
    <mergeCell ref="D254:I254"/>
    <mergeCell ref="J254:N254"/>
    <mergeCell ref="O254:S254"/>
    <mergeCell ref="C247:U247"/>
    <mergeCell ref="V247:X247"/>
    <mergeCell ref="Y247:AB247"/>
    <mergeCell ref="AC247:AF247"/>
    <mergeCell ref="D249:U249"/>
    <mergeCell ref="D250:U250"/>
    <mergeCell ref="V245:X245"/>
    <mergeCell ref="Y245:AB245"/>
    <mergeCell ref="AC245:AF245"/>
    <mergeCell ref="C246:U246"/>
    <mergeCell ref="V246:X246"/>
    <mergeCell ref="Y246:AB246"/>
    <mergeCell ref="AC246:AF246"/>
    <mergeCell ref="Y243:AB243"/>
    <mergeCell ref="AC243:AF243"/>
    <mergeCell ref="A244:C244"/>
    <mergeCell ref="D244:I244"/>
    <mergeCell ref="J244:N244"/>
    <mergeCell ref="O244:S244"/>
    <mergeCell ref="T244:U244"/>
    <mergeCell ref="V244:X244"/>
    <mergeCell ref="Y244:AB244"/>
    <mergeCell ref="AC244:AF244"/>
    <mergeCell ref="A243:C243"/>
    <mergeCell ref="D243:I243"/>
    <mergeCell ref="J243:N243"/>
    <mergeCell ref="O243:S243"/>
    <mergeCell ref="T243:U243"/>
    <mergeCell ref="V243:X243"/>
    <mergeCell ref="Y241:AB241"/>
    <mergeCell ref="AC241:AF241"/>
    <mergeCell ref="A242:C242"/>
    <mergeCell ref="D242:I242"/>
    <mergeCell ref="J242:N242"/>
    <mergeCell ref="O242:S242"/>
    <mergeCell ref="T242:U242"/>
    <mergeCell ref="V242:X242"/>
    <mergeCell ref="Y242:AB242"/>
    <mergeCell ref="AC242:AF242"/>
    <mergeCell ref="A241:C241"/>
    <mergeCell ref="D241:I241"/>
    <mergeCell ref="J241:N241"/>
    <mergeCell ref="O241:S241"/>
    <mergeCell ref="T241:U241"/>
    <mergeCell ref="V241:X241"/>
    <mergeCell ref="Y239:AB239"/>
    <mergeCell ref="AC239:AF239"/>
    <mergeCell ref="A240:C240"/>
    <mergeCell ref="D240:I240"/>
    <mergeCell ref="J240:N240"/>
    <mergeCell ref="O240:S240"/>
    <mergeCell ref="T240:U240"/>
    <mergeCell ref="V240:X240"/>
    <mergeCell ref="Y240:AB240"/>
    <mergeCell ref="AC240:AF240"/>
    <mergeCell ref="A239:C239"/>
    <mergeCell ref="D239:I239"/>
    <mergeCell ref="J239:N239"/>
    <mergeCell ref="O239:S239"/>
    <mergeCell ref="T239:U239"/>
    <mergeCell ref="V239:X239"/>
    <mergeCell ref="Y237:AB237"/>
    <mergeCell ref="AC237:AF237"/>
    <mergeCell ref="A238:C238"/>
    <mergeCell ref="D238:I238"/>
    <mergeCell ref="J238:N238"/>
    <mergeCell ref="O238:S238"/>
    <mergeCell ref="T238:U238"/>
    <mergeCell ref="V238:X238"/>
    <mergeCell ref="Y238:AB238"/>
    <mergeCell ref="AC238:AF238"/>
    <mergeCell ref="A237:C237"/>
    <mergeCell ref="D237:I237"/>
    <mergeCell ref="J237:N237"/>
    <mergeCell ref="O237:S237"/>
    <mergeCell ref="T237:U237"/>
    <mergeCell ref="V237:X237"/>
    <mergeCell ref="Y235:AB235"/>
    <mergeCell ref="AC235:AF235"/>
    <mergeCell ref="A236:C236"/>
    <mergeCell ref="D236:I236"/>
    <mergeCell ref="J236:N236"/>
    <mergeCell ref="O236:S236"/>
    <mergeCell ref="T236:U236"/>
    <mergeCell ref="V236:X236"/>
    <mergeCell ref="Y236:AB236"/>
    <mergeCell ref="AC236:AF236"/>
    <mergeCell ref="A235:C235"/>
    <mergeCell ref="D235:I235"/>
    <mergeCell ref="J235:N235"/>
    <mergeCell ref="O235:S235"/>
    <mergeCell ref="T235:U235"/>
    <mergeCell ref="V235:X235"/>
    <mergeCell ref="Y233:AB233"/>
    <mergeCell ref="AC233:AF233"/>
    <mergeCell ref="A234:C234"/>
    <mergeCell ref="D234:I234"/>
    <mergeCell ref="J234:N234"/>
    <mergeCell ref="O234:S234"/>
    <mergeCell ref="T234:U234"/>
    <mergeCell ref="V234:X234"/>
    <mergeCell ref="Y234:AB234"/>
    <mergeCell ref="AC234:AF234"/>
    <mergeCell ref="A233:C233"/>
    <mergeCell ref="D233:I233"/>
    <mergeCell ref="J233:N233"/>
    <mergeCell ref="O233:S233"/>
    <mergeCell ref="T233:U233"/>
    <mergeCell ref="V233:X233"/>
    <mergeCell ref="T231:U231"/>
    <mergeCell ref="A232:C232"/>
    <mergeCell ref="D232:I232"/>
    <mergeCell ref="J232:N232"/>
    <mergeCell ref="O232:S232"/>
    <mergeCell ref="T232:U232"/>
    <mergeCell ref="J230:N230"/>
    <mergeCell ref="O230:S230"/>
    <mergeCell ref="A231:C231"/>
    <mergeCell ref="D231:I231"/>
    <mergeCell ref="J231:N231"/>
    <mergeCell ref="O231:S231"/>
    <mergeCell ref="C226:U226"/>
    <mergeCell ref="V226:AM226"/>
    <mergeCell ref="B228:U228"/>
    <mergeCell ref="V228:AM228"/>
    <mergeCell ref="A229:C230"/>
    <mergeCell ref="D229:N229"/>
    <mergeCell ref="O229:S229"/>
    <mergeCell ref="T229:U230"/>
    <mergeCell ref="V229:AM229"/>
    <mergeCell ref="D230:I230"/>
    <mergeCell ref="D178:U178"/>
    <mergeCell ref="A219:T219"/>
    <mergeCell ref="A220:T220"/>
    <mergeCell ref="C222:U222"/>
    <mergeCell ref="C223:U223"/>
    <mergeCell ref="A224:A225"/>
    <mergeCell ref="C225:U225"/>
    <mergeCell ref="D172:U172"/>
    <mergeCell ref="V172:AL172"/>
    <mergeCell ref="D173:U173"/>
    <mergeCell ref="V173:AL173"/>
    <mergeCell ref="D174:U174"/>
    <mergeCell ref="D177:U177"/>
    <mergeCell ref="E169:J169"/>
    <mergeCell ref="K169:O169"/>
    <mergeCell ref="P169:S169"/>
    <mergeCell ref="T169:U169"/>
    <mergeCell ref="D171:U171"/>
    <mergeCell ref="V171:AL171"/>
    <mergeCell ref="E167:J167"/>
    <mergeCell ref="K167:O167"/>
    <mergeCell ref="P167:S167"/>
    <mergeCell ref="T167:U167"/>
    <mergeCell ref="E168:J168"/>
    <mergeCell ref="K168:O168"/>
    <mergeCell ref="P168:S168"/>
    <mergeCell ref="T168:U168"/>
    <mergeCell ref="E165:J165"/>
    <mergeCell ref="K165:O165"/>
    <mergeCell ref="P165:S165"/>
    <mergeCell ref="T165:U165"/>
    <mergeCell ref="E166:J166"/>
    <mergeCell ref="K166:O166"/>
    <mergeCell ref="P166:S166"/>
    <mergeCell ref="T166:U166"/>
    <mergeCell ref="E163:J163"/>
    <mergeCell ref="K163:O163"/>
    <mergeCell ref="P163:S163"/>
    <mergeCell ref="T163:U163"/>
    <mergeCell ref="E164:J164"/>
    <mergeCell ref="K164:O164"/>
    <mergeCell ref="P164:S164"/>
    <mergeCell ref="T164:U164"/>
    <mergeCell ref="E161:J161"/>
    <mergeCell ref="K161:O161"/>
    <mergeCell ref="P161:S161"/>
    <mergeCell ref="T161:U161"/>
    <mergeCell ref="E162:J162"/>
    <mergeCell ref="K162:O162"/>
    <mergeCell ref="P162:S162"/>
    <mergeCell ref="T162:U162"/>
    <mergeCell ref="D159:U159"/>
    <mergeCell ref="A160:D160"/>
    <mergeCell ref="E160:J160"/>
    <mergeCell ref="K160:O160"/>
    <mergeCell ref="P160:S160"/>
    <mergeCell ref="T160:U160"/>
    <mergeCell ref="D151:U151"/>
    <mergeCell ref="D152:U152"/>
    <mergeCell ref="D153:U153"/>
    <mergeCell ref="D154:U154"/>
    <mergeCell ref="D155:U155"/>
    <mergeCell ref="C158:U158"/>
    <mergeCell ref="E146:J146"/>
    <mergeCell ref="K146:O146"/>
    <mergeCell ref="P146:S146"/>
    <mergeCell ref="T146:U146"/>
    <mergeCell ref="E147:J147"/>
    <mergeCell ref="K147:O147"/>
    <mergeCell ref="P147:S147"/>
    <mergeCell ref="T147:U147"/>
    <mergeCell ref="E144:J144"/>
    <mergeCell ref="K144:O144"/>
    <mergeCell ref="P144:S144"/>
    <mergeCell ref="T144:U144"/>
    <mergeCell ref="E145:J145"/>
    <mergeCell ref="K145:O145"/>
    <mergeCell ref="P145:S145"/>
    <mergeCell ref="T145:U145"/>
    <mergeCell ref="E142:J142"/>
    <mergeCell ref="K142:O142"/>
    <mergeCell ref="P142:S142"/>
    <mergeCell ref="T142:U142"/>
    <mergeCell ref="E143:J143"/>
    <mergeCell ref="K143:O143"/>
    <mergeCell ref="P143:S143"/>
    <mergeCell ref="T143:U143"/>
    <mergeCell ref="E140:J140"/>
    <mergeCell ref="K140:O140"/>
    <mergeCell ref="P140:S140"/>
    <mergeCell ref="T140:U140"/>
    <mergeCell ref="E141:J141"/>
    <mergeCell ref="K141:O141"/>
    <mergeCell ref="P141:S141"/>
    <mergeCell ref="T141:U141"/>
    <mergeCell ref="A138:D138"/>
    <mergeCell ref="E138:J138"/>
    <mergeCell ref="K138:O138"/>
    <mergeCell ref="P138:S138"/>
    <mergeCell ref="T138:U138"/>
    <mergeCell ref="E139:J139"/>
    <mergeCell ref="K139:O139"/>
    <mergeCell ref="P139:S139"/>
    <mergeCell ref="T139:U139"/>
    <mergeCell ref="G133:K133"/>
    <mergeCell ref="L133:P133"/>
    <mergeCell ref="Q133:U133"/>
    <mergeCell ref="C135:U135"/>
    <mergeCell ref="V135:AM135"/>
    <mergeCell ref="A137:U137"/>
    <mergeCell ref="G131:K131"/>
    <mergeCell ref="L131:P131"/>
    <mergeCell ref="Q131:U131"/>
    <mergeCell ref="G132:K132"/>
    <mergeCell ref="L132:P132"/>
    <mergeCell ref="Q132:U132"/>
    <mergeCell ref="G129:K129"/>
    <mergeCell ref="L129:P129"/>
    <mergeCell ref="Q129:U129"/>
    <mergeCell ref="G130:K130"/>
    <mergeCell ref="L130:P130"/>
    <mergeCell ref="Q130:U130"/>
    <mergeCell ref="G127:K127"/>
    <mergeCell ref="L127:P127"/>
    <mergeCell ref="Q127:U127"/>
    <mergeCell ref="G128:K128"/>
    <mergeCell ref="L128:P128"/>
    <mergeCell ref="Q128:U128"/>
    <mergeCell ref="G125:K125"/>
    <mergeCell ref="L125:P125"/>
    <mergeCell ref="Q125:U125"/>
    <mergeCell ref="G126:K126"/>
    <mergeCell ref="L126:P126"/>
    <mergeCell ref="Q126:U126"/>
    <mergeCell ref="G123:K123"/>
    <mergeCell ref="L123:P123"/>
    <mergeCell ref="Q123:U123"/>
    <mergeCell ref="G124:K124"/>
    <mergeCell ref="L124:P124"/>
    <mergeCell ref="Q124:U124"/>
    <mergeCell ref="A120:F121"/>
    <mergeCell ref="G120:K121"/>
    <mergeCell ref="L120:P121"/>
    <mergeCell ref="Q120:U121"/>
    <mergeCell ref="G122:K122"/>
    <mergeCell ref="L122:P122"/>
    <mergeCell ref="Q122:U122"/>
    <mergeCell ref="E90:U90"/>
    <mergeCell ref="E91:U91"/>
    <mergeCell ref="D92:U92"/>
    <mergeCell ref="A112:U112"/>
    <mergeCell ref="A113:U113"/>
    <mergeCell ref="A115:A118"/>
    <mergeCell ref="C115:U115"/>
    <mergeCell ref="C117:U117"/>
    <mergeCell ref="C118:U118"/>
    <mergeCell ref="D84:U84"/>
    <mergeCell ref="E85:U85"/>
    <mergeCell ref="E86:U86"/>
    <mergeCell ref="E87:U87"/>
    <mergeCell ref="D88:U88"/>
    <mergeCell ref="E89:U89"/>
    <mergeCell ref="C78:T78"/>
    <mergeCell ref="D79:U79"/>
    <mergeCell ref="C80:T80"/>
    <mergeCell ref="C81:T81"/>
    <mergeCell ref="E82:U82"/>
    <mergeCell ref="E83:U83"/>
    <mergeCell ref="D72:U72"/>
    <mergeCell ref="D73:U73"/>
    <mergeCell ref="C74:T74"/>
    <mergeCell ref="D75:U75"/>
    <mergeCell ref="D76:U76"/>
    <mergeCell ref="D77:U77"/>
    <mergeCell ref="C66:T66"/>
    <mergeCell ref="C67:T67"/>
    <mergeCell ref="D68:U68"/>
    <mergeCell ref="D69:U69"/>
    <mergeCell ref="C70:T70"/>
    <mergeCell ref="D71:U71"/>
    <mergeCell ref="C60:T60"/>
    <mergeCell ref="C61:T61"/>
    <mergeCell ref="C62:T62"/>
    <mergeCell ref="C63:T63"/>
    <mergeCell ref="D64:T64"/>
    <mergeCell ref="D65:T65"/>
    <mergeCell ref="D54:U54"/>
    <mergeCell ref="D55:U55"/>
    <mergeCell ref="A57:A58"/>
    <mergeCell ref="C57:T57"/>
    <mergeCell ref="C58:U58"/>
    <mergeCell ref="C59:T59"/>
    <mergeCell ref="D51:U51"/>
    <mergeCell ref="V51:AL51"/>
    <mergeCell ref="D52:U52"/>
    <mergeCell ref="V52:AL52"/>
    <mergeCell ref="D53:U53"/>
    <mergeCell ref="V53:AL53"/>
    <mergeCell ref="D45:U45"/>
    <mergeCell ref="D46:U46"/>
    <mergeCell ref="D47:U47"/>
    <mergeCell ref="D48:U48"/>
    <mergeCell ref="D49:U49"/>
    <mergeCell ref="D50:U50"/>
    <mergeCell ref="D40:U40"/>
    <mergeCell ref="D41:U41"/>
    <mergeCell ref="D42:U42"/>
    <mergeCell ref="D43:U43"/>
    <mergeCell ref="D44:U44"/>
    <mergeCell ref="V44:AL44"/>
    <mergeCell ref="D34:U34"/>
    <mergeCell ref="D35:U35"/>
    <mergeCell ref="D36:U36"/>
    <mergeCell ref="D37:U37"/>
    <mergeCell ref="D38:U38"/>
    <mergeCell ref="D39:U39"/>
    <mergeCell ref="A29:A30"/>
    <mergeCell ref="C29:T29"/>
    <mergeCell ref="C30:U30"/>
    <mergeCell ref="C31:U31"/>
    <mergeCell ref="D32:U32"/>
    <mergeCell ref="D33:U33"/>
    <mergeCell ref="C22:U22"/>
    <mergeCell ref="C23:T23"/>
    <mergeCell ref="C24:T24"/>
    <mergeCell ref="C25:T25"/>
    <mergeCell ref="C26:T26"/>
    <mergeCell ref="C27:T27"/>
    <mergeCell ref="D16:U16"/>
    <mergeCell ref="D17:U17"/>
    <mergeCell ref="D18:U18"/>
    <mergeCell ref="D19:U19"/>
    <mergeCell ref="D20:U20"/>
    <mergeCell ref="C21:U21"/>
    <mergeCell ref="C10:U10"/>
    <mergeCell ref="D11:U11"/>
    <mergeCell ref="C12:U12"/>
    <mergeCell ref="C13:U13"/>
    <mergeCell ref="D14:U14"/>
    <mergeCell ref="D15:U15"/>
    <mergeCell ref="A1:U1"/>
    <mergeCell ref="B2:U2"/>
    <mergeCell ref="B3:U3"/>
    <mergeCell ref="D7:U7"/>
    <mergeCell ref="C8:U8"/>
    <mergeCell ref="C9:U9"/>
  </mergeCells>
  <pageMargins left="0.70866141732283472" right="0.62992125984251968" top="0.74803149606299213" bottom="0.35433070866141736" header="0.31496062992125984" footer="0.31496062992125984"/>
  <pageSetup paperSize="9" scale="92" firstPageNumber="11" orientation="portrait" useFirstPageNumber="1" horizontalDpi="4294967293" r:id="rId1"/>
  <headerFooter>
    <oddFooter>&amp;R&amp;P</oddFooter>
  </headerFooter>
  <rowBreaks count="80" manualBreakCount="80">
    <brk id="21" max="20" man="1"/>
    <brk id="43" max="20" man="1"/>
    <brk id="62" max="20" man="1"/>
    <brk id="111" max="20" man="1"/>
    <brk id="149" max="20" man="1"/>
    <brk id="175" max="20" man="1"/>
    <brk id="218" max="20" man="1"/>
    <brk id="244" max="20" man="1"/>
    <brk id="278" max="20" man="1"/>
    <brk id="311" max="20" man="1"/>
    <brk id="347" max="20" man="1"/>
    <brk id="377" max="20" man="1"/>
    <brk id="402" max="20" man="1"/>
    <brk id="425" max="20" man="1"/>
    <brk id="449" max="20" man="1"/>
    <brk id="477" max="20" man="1"/>
    <brk id="507" max="20" man="1"/>
    <brk id="533" max="20" man="1"/>
    <brk id="559" max="20" man="1"/>
    <brk id="578" max="20" man="1"/>
    <brk id="592" max="20" man="1"/>
    <brk id="620" max="20" man="1"/>
    <brk id="650" max="20" man="1"/>
    <brk id="676" max="20" man="1"/>
    <brk id="708" max="20" man="1"/>
    <brk id="732" max="20" man="1"/>
    <brk id="763" max="20" man="1"/>
    <brk id="780" max="20" man="1"/>
    <brk id="809" max="20" man="1"/>
    <brk id="832" max="20" man="1"/>
    <brk id="862" max="20" man="1"/>
    <brk id="893" max="20" man="1"/>
    <brk id="923" max="20" man="1"/>
    <brk id="952" max="20" man="1"/>
    <brk id="984" max="20" man="1"/>
    <brk id="1013" max="20" man="1"/>
    <brk id="1040" max="20" man="1"/>
    <brk id="1068" max="20" man="1"/>
    <brk id="1098" max="20" man="1"/>
    <brk id="1126" max="20" man="1"/>
    <brk id="1155" max="20" man="1"/>
    <brk id="1192" max="20" man="1"/>
    <brk id="1223" max="20" man="1"/>
    <brk id="1257" max="20" man="1"/>
    <brk id="1280" max="20" man="1"/>
    <brk id="1305" max="20" man="1"/>
    <brk id="1331" max="20" man="1"/>
    <brk id="1356" max="20" man="1"/>
    <brk id="1382" max="20" man="1"/>
    <brk id="1409" max="20" man="1"/>
    <brk id="1435" max="20" man="1"/>
    <brk id="1461" max="20" man="1"/>
    <brk id="1493" max="20" man="1"/>
    <brk id="1524" max="20" man="1"/>
    <brk id="1551" max="20" man="1"/>
    <brk id="1579" max="20" man="1"/>
    <brk id="1613" max="20" man="1"/>
    <brk id="1638" max="20" man="1"/>
    <brk id="1664" max="20" man="1"/>
    <brk id="1684" max="20" man="1"/>
    <brk id="1709" max="20" man="1"/>
    <brk id="1729" max="20" man="1"/>
    <brk id="1759" max="20" man="1"/>
    <brk id="1799" max="20" man="1"/>
    <brk id="1838" max="20" man="1"/>
    <brk id="1888" max="20" man="1"/>
    <brk id="1927" max="20" man="1"/>
    <brk id="1974" max="20" man="1"/>
    <brk id="2017" max="20" man="1"/>
    <brk id="2057" max="20" man="1"/>
    <brk id="2106" max="20" man="1"/>
    <brk id="2135" max="20" man="1"/>
    <brk id="2177" max="20" man="1"/>
    <brk id="2200" max="20" man="1"/>
    <brk id="2219" max="20" man="1"/>
    <brk id="2239" max="20" man="1"/>
    <brk id="2260" max="20" man="1"/>
    <brk id="2272" max="20" man="1"/>
    <brk id="2289" max="20" man="1"/>
    <brk id="231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Calk Umum</vt:lpstr>
      <vt:lpstr>'Calk Umum'!OLE_LINK2</vt:lpstr>
      <vt:lpstr>'Calk Umum'!Print_Area</vt:lpstr>
      <vt:lpstr>'Calk Umum'!Print_Titles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2018-10-11T02:18:59Z</dcterms:created>
  <dcterms:modified xsi:type="dcterms:W3CDTF">2018-10-11T02:19:34Z</dcterms:modified>
</cp:coreProperties>
</file>